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0196876\Desktop\BCS\QuickStartTools\In Work\released\LM5176\V1_2\"/>
    </mc:Choice>
  </mc:AlternateContent>
  <xr:revisionPtr revIDLastSave="0" documentId="13_ncr:1_{2E81976A-78A5-49B2-A4F2-B35AF484411B}" xr6:coauthVersionLast="47" xr6:coauthVersionMax="47" xr10:uidLastSave="{00000000-0000-0000-0000-000000000000}"/>
  <workbookProtection workbookAlgorithmName="SHA-512" workbookHashValue="vEtgEHdHhJTTvkeOpeAGl/NqPaJkgZBg3K57/5Vo11SfO8bX/nmwMK8OHsxabkFUZXHjYOJzAxWYke+FBqcgxQ==" workbookSaltValue="8E337p0rAI6k5AmdxQLHDg==" workbookSpinCount="100000" lockStructure="1"/>
  <bookViews>
    <workbookView xWindow="-120" yWindow="-120" windowWidth="29040" windowHeight="17520" tabRatio="565" xr2:uid="{00000000-000D-0000-FFFF-FFFF00000000}"/>
  </bookViews>
  <sheets>
    <sheet name="Design Converter" sheetId="1" r:id="rId1"/>
    <sheet name="BOM &amp; Schematic" sheetId="16" r:id="rId2"/>
    <sheet name="Licenses" sheetId="23" r:id="rId3"/>
    <sheet name="EVMs" sheetId="14" state="hidden" r:id="rId4"/>
    <sheet name="Variable Management" sheetId="2" state="hidden" r:id="rId5"/>
    <sheet name="Schematic Management" sheetId="22" state="hidden" r:id="rId6"/>
    <sheet name="Efficiency Plot Management" sheetId="19" state="hidden" r:id="rId7"/>
    <sheet name="Efficiency vs VIN Calculations" sheetId="20" state="hidden" r:id="rId8"/>
    <sheet name="Efficiency vs Load Calculations" sheetId="21" state="hidden" r:id="rId9"/>
    <sheet name="Stability Calculations" sheetId="17" state="hidden" r:id="rId10"/>
    <sheet name="Standard Value Calculator" sheetId="8" state="hidden" r:id="rId11"/>
    <sheet name="Snubber" sheetId="11" state="hidden" r:id="rId12"/>
    <sheet name="Parallel Output Caps" sheetId="6" state="hidden" r:id="rId13"/>
  </sheets>
  <externalReferences>
    <externalReference r:id="rId14"/>
  </externalReferences>
  <definedNames>
    <definedName name="_Don1" localSheetId="2">'[1]Variable Management'!$B$48</definedName>
    <definedName name="_Don1">'Variable Management'!$B$48</definedName>
    <definedName name="_Don2" localSheetId="2">'[1]Variable Management'!$B$69</definedName>
    <definedName name="_Don2">'Variable Management'!$B$69</definedName>
    <definedName name="Acs" localSheetId="2">'[1]Variable Management'!$B$294</definedName>
    <definedName name="Acs">'Variable Management'!$B$294</definedName>
    <definedName name="Adc" localSheetId="2">'[1]Stability Calculations'!$Q$3</definedName>
    <definedName name="Adc">'Stability Calculations'!$Q$3</definedName>
    <definedName name="AEA" localSheetId="2">'[1]Variable Management'!$B$292</definedName>
    <definedName name="AEA">'Variable Management'!$B$292</definedName>
    <definedName name="Afb" localSheetId="2">'[1]Variable Management'!$B$293</definedName>
    <definedName name="Afb">'Variable Management'!$B$293</definedName>
    <definedName name="Am" localSheetId="2">'[1]Variable Management'!$B$297</definedName>
    <definedName name="Am">'Variable Management'!$B$297</definedName>
    <definedName name="Am_boost" localSheetId="2">'[1]Variable Management'!$B$296</definedName>
    <definedName name="Am_boost">'Variable Management'!$B$296</definedName>
    <definedName name="Am_buck" localSheetId="2">'[1]Variable Management'!$B$295</definedName>
    <definedName name="Am_buck">'Variable Management'!$B$295</definedName>
    <definedName name="Boost_CS_Threshold" localSheetId="2">'[1]Variable Management'!$B$112</definedName>
    <definedName name="Boost_CS_Threshold">'Variable Management'!$B$112</definedName>
    <definedName name="Boost_CS_Threshold_max">'Variable Management'!$B$113</definedName>
    <definedName name="Boost_CS_Threshold_min">'Variable Management'!$B$111</definedName>
    <definedName name="Buck_CS_threshold" localSheetId="2">'[1]Variable Management'!$B$108</definedName>
    <definedName name="Buck_CS_threshold">'Variable Management'!$B$108</definedName>
    <definedName name="Buck_CS_threshold_max">'Variable Management'!$B$109</definedName>
    <definedName name="Buck_CS_threshold_min">'Variable Management'!$B$107</definedName>
    <definedName name="Cb">'Variable Management'!$B$233</definedName>
    <definedName name="Cbw" localSheetId="2">'[1]Variable Management'!$B$288</definedName>
    <definedName name="Cbw">'Variable Management'!$B$288</definedName>
    <definedName name="Cby">'Variable Management'!$B$232</definedName>
    <definedName name="Cc1ea" localSheetId="2">'[1]Variable Management'!$B$319</definedName>
    <definedName name="Cc1ea">'Variable Management'!$B$318</definedName>
    <definedName name="Cc1ea_u" localSheetId="2">'[1]Variable Management'!$B$324</definedName>
    <definedName name="Cc1ea_u">'Variable Management'!$B$323</definedName>
    <definedName name="Cc2ea" localSheetId="2">'[1]Variable Management'!$B$320</definedName>
    <definedName name="Cc2ea">'Variable Management'!$B$319</definedName>
    <definedName name="Cc2ea_u" localSheetId="2">'[1]Variable Management'!$B$325</definedName>
    <definedName name="Cc2ea_u">'Variable Management'!$B$324</definedName>
    <definedName name="Cdither" localSheetId="2">'[1]Variable Management'!$B$232</definedName>
    <definedName name="Cdither">'Variable Management'!$B$232</definedName>
    <definedName name="CFG">'[1]Variable Management'!$O$10</definedName>
    <definedName name="Cin" localSheetId="2">'[1]Variable Management'!$B$189</definedName>
    <definedName name="Cin">'Variable Management'!$B$189</definedName>
    <definedName name="CinEsrMax" localSheetId="2">'[1]Variable Management'!$B$192</definedName>
    <definedName name="CinEsrMax">'Variable Management'!$B$192</definedName>
    <definedName name="Cinmin" localSheetId="2">'[1]Variable Management'!$B$187</definedName>
    <definedName name="Cinmin">'Variable Management'!$B$187</definedName>
    <definedName name="Constant_Current_Loop_Setpoint" localSheetId="2">'[1]Variable Management'!$B$154</definedName>
    <definedName name="Constant_Current_Loop_Setpoint">'Variable Management'!$B$154</definedName>
    <definedName name="Cout" localSheetId="2">'[1]Variable Management'!$B$169</definedName>
    <definedName name="Cout">'Variable Management'!$B$169</definedName>
    <definedName name="CoutEsr" localSheetId="2">'[1]Variable Management'!$B$173</definedName>
    <definedName name="CoutEsr">'Variable Management'!$B$173</definedName>
    <definedName name="CoutEsrMax" localSheetId="2">'[1]Variable Management'!$B$170</definedName>
    <definedName name="CoutEsrMax">'Variable Management'!$B$170</definedName>
    <definedName name="Coutmin" localSheetId="2">'[1]Variable Management'!$B$167</definedName>
    <definedName name="Coutmin">'Variable Management'!$B$167</definedName>
    <definedName name="CSAmp_gain" localSheetId="2">'[1]Variable Management'!$B$237</definedName>
    <definedName name="CSAmp_gain">'Variable Management'!$B$237</definedName>
    <definedName name="Csb" localSheetId="2">'[1]Variable Management'!$B$230</definedName>
    <definedName name="Csb">'Variable Management'!$B$230</definedName>
    <definedName name="Csby" localSheetId="2">'[1]Variable Management'!$B$231</definedName>
    <definedName name="Csby">'Variable Management'!$B$231</definedName>
    <definedName name="Csideal">'Variable Management'!$B$139</definedName>
    <definedName name="Cslope" localSheetId="2">'[1]Variable Management'!$B$240</definedName>
    <definedName name="Cslope">'Variable Management'!$B$141</definedName>
    <definedName name="Cslope_ideal">'Variable Management'!$B$139</definedName>
    <definedName name="Css" localSheetId="2">'[1]Variable Management'!$B$205</definedName>
    <definedName name="Css">'Variable Management'!$B$205</definedName>
    <definedName name="Css_u" localSheetId="2">'[1]Variable Management'!$B$206</definedName>
    <definedName name="Css_u">'Variable Management'!$B$206</definedName>
    <definedName name="D_max_buck_BB" localSheetId="2">'[1]Variable Management'!$B$34</definedName>
    <definedName name="D_max_buck_BB">'Variable Management'!$B$34</definedName>
    <definedName name="D_max_buck_enterBB">'Variable Management'!$B$38</definedName>
    <definedName name="D_max_exitBB_to_buck" localSheetId="2">'[1]Variable Management'!$B$37</definedName>
    <definedName name="D_max_exitBB_to_buck">'Variable Management'!$B$37</definedName>
    <definedName name="D_min_boost">'Variable Management'!$B$32</definedName>
    <definedName name="D_min_boost_exitBB_to_buck" localSheetId="2">'[1]Variable Management'!$B$36</definedName>
    <definedName name="D_min_boost_exitBB_to_buck">'Variable Management'!$B$36</definedName>
    <definedName name="Deadtime" localSheetId="2">'[1]Variable Management'!$B$362</definedName>
    <definedName name="Deadtime">'Variable Management'!$B$361</definedName>
    <definedName name="DITHER" localSheetId="2">'[1]Variable Management'!$O$10</definedName>
    <definedName name="DITHER">'Variable Management'!$O$10</definedName>
    <definedName name="Doff1">'Variable Management'!$B$49</definedName>
    <definedName name="Doff2" localSheetId="2">'[1]Variable Management'!$B$70</definedName>
    <definedName name="Doff2">'Variable Management'!$B$70</definedName>
    <definedName name="Don_buckboost" localSheetId="2">'[1]Variable Management'!$B$54</definedName>
    <definedName name="Don_buckboost">'Variable Management'!$B$54</definedName>
    <definedName name="Don_Vinmax" localSheetId="2">'[1]Variable Management'!$B$53</definedName>
    <definedName name="Don_Vinmax">'Variable Management'!$B$53</definedName>
    <definedName name="Don_Vinmax_2" localSheetId="2">'[1]Variable Management'!$B$74</definedName>
    <definedName name="Don_Vinmax_2">'Variable Management'!$B$74</definedName>
    <definedName name="Don_Vinmin" localSheetId="2">'[1]Variable Management'!$B$51</definedName>
    <definedName name="Don_Vinmin">'Variable Management'!$B$51</definedName>
    <definedName name="Don_Vinmin_2" localSheetId="2">'[1]Variable Management'!$B$72</definedName>
    <definedName name="Don_Vinmin_2">'Variable Management'!$B$72</definedName>
    <definedName name="Don_Vinnom" localSheetId="2">'[1]Variable Management'!$B$52</definedName>
    <definedName name="Don_Vinnom">'Variable Management'!$B$52</definedName>
    <definedName name="Don_Vinnom_2" localSheetId="2">'[1]Variable Management'!$B$73</definedName>
    <definedName name="Don_Vinnom_2">'Variable Management'!$B$73</definedName>
    <definedName name="EFF_IOUT">'Efficiency Plot Management'!$B$5</definedName>
    <definedName name="EFF_VIN">'Efficiency Plot Management'!$B$7</definedName>
    <definedName name="Efficiency" localSheetId="2">'[1]Variable Management'!$B$16</definedName>
    <definedName name="Efficiency">'Variable Management'!$B$16</definedName>
    <definedName name="Fcross" localSheetId="2">'[1]Variable Management'!$B$317</definedName>
    <definedName name="Fcross">'Variable Management'!$B$316</definedName>
    <definedName name="Fdither">'Variable Management'!$B$230</definedName>
    <definedName name="Fesr" localSheetId="2">'[1]Variable Management'!$B$312</definedName>
    <definedName name="Fesr">'Variable Management'!$B$312</definedName>
    <definedName name="Fload_boost">'[1]Variable Management'!$B$307</definedName>
    <definedName name="Fload_buck">'[1]Variable Management'!$B$306</definedName>
    <definedName name="Fload_u">'Variable Management'!$B$306</definedName>
    <definedName name="Fp_dominant" localSheetId="2">'[1]Variable Management'!$B$308</definedName>
    <definedName name="Fp_dominant">'Variable Management'!$B$308</definedName>
    <definedName name="Fp1_u" localSheetId="2">'[1]Variable Management'!$B$310</definedName>
    <definedName name="Fp1_u">'Variable Management'!$B$310</definedName>
    <definedName name="Fp2_u" localSheetId="2">'[1]Variable Management'!$B$311</definedName>
    <definedName name="Fp2_u">'Variable Management'!$B$311</definedName>
    <definedName name="Frhp" localSheetId="2">'[1]Variable Management'!$B$313</definedName>
    <definedName name="Frhp">'Variable Management'!$B$313</definedName>
    <definedName name="Frhp_Vinmin">'[1]Variable Management'!$B$314</definedName>
    <definedName name="Fsw" localSheetId="2">'[1]Variable Management'!$B$22</definedName>
    <definedName name="Fsw">'Variable Management'!$B$22</definedName>
    <definedName name="Fz1_u" localSheetId="2">'[1]Variable Management'!$B$330</definedName>
    <definedName name="Fz1_u">'Variable Management'!$B$329</definedName>
    <definedName name="GBW" localSheetId="2">'[1]Variable Management'!$B$287</definedName>
    <definedName name="GBW">'Variable Management'!$B$287</definedName>
    <definedName name="GdrvDelay">[1]Timings!$B$2</definedName>
    <definedName name="Gfs_Q1" localSheetId="2">'[1]Variable Management'!$B$373</definedName>
    <definedName name="Gfs_Q1">'Variable Management'!$B$372</definedName>
    <definedName name="Gfs_Q2" localSheetId="2">'[1]Variable Management'!$D$373</definedName>
    <definedName name="Gfs_Q2">'Variable Management'!$D$372</definedName>
    <definedName name="Gfs_Q3" localSheetId="2">'[1]Variable Management'!$B$390</definedName>
    <definedName name="Gfs_Q3">'Variable Management'!$B$389</definedName>
    <definedName name="Gfs_Q4" localSheetId="2">'[1]Variable Management'!$D$390</definedName>
    <definedName name="Gfs_Q4">'Variable Management'!$D$389</definedName>
    <definedName name="gm" localSheetId="2">'[1]Variable Management'!$B$239</definedName>
    <definedName name="gm">'Variable Management'!$B$239</definedName>
    <definedName name="gm_slopecomp" localSheetId="2">'[1]Variable Management'!$B$241</definedName>
    <definedName name="gm_slopecomp">'Variable Management'!$B$241</definedName>
    <definedName name="I_T12_FSW">[1]Timings!$B$17</definedName>
    <definedName name="I_T12_max">[1]Timings!$B$12</definedName>
    <definedName name="I_T23_FSW">[1]Timings!$B$18</definedName>
    <definedName name="I_T23_max">[1]Timings!$B$13</definedName>
    <definedName name="Iconst">[1]Timings!$B$9</definedName>
    <definedName name="Icoutrms">'Variable Management'!$B$160</definedName>
    <definedName name="Ifsw_2M">[1]Timings!$B$8</definedName>
    <definedName name="Iin_Vinmax" localSheetId="2">'[1]Variable Management'!$B$20</definedName>
    <definedName name="Iin_Vinmax">'Variable Management'!$B$20</definedName>
    <definedName name="Iin_Vinmin" localSheetId="2">'[1]Variable Management'!$B$18</definedName>
    <definedName name="Iin_Vinmin">'Variable Management'!$B$18</definedName>
    <definedName name="Iin_Vinnom" localSheetId="2">'[1]Variable Management'!$B$19</definedName>
    <definedName name="Iin_Vinnom">'Variable Management'!$B$19</definedName>
    <definedName name="IL_peak_OCP" localSheetId="2">'[1]Variable Management'!$B$137</definedName>
    <definedName name="IL_peak_OCP">'Variable Management'!$B$137</definedName>
    <definedName name="IlDir">[1]Timings!$B$6</definedName>
    <definedName name="Ilimit_DC" localSheetId="2">'[1]Variable Management'!$B$100</definedName>
    <definedName name="Ilimit_DC">'Variable Management'!$B$100</definedName>
    <definedName name="IlNeg">[1]Timings!$B$5</definedName>
    <definedName name="ILpeak_OCP_Vinmax">'Variable Management'!$B$134</definedName>
    <definedName name="ILpeak_OCP_Vinmin">'Variable Management'!$B$132</definedName>
    <definedName name="ILpeak_OCP_Vinnom">'Variable Management'!$B$133</definedName>
    <definedName name="IlPos">[1]Timings!$B$4</definedName>
    <definedName name="Iout" localSheetId="2">'[1]Variable Management'!$B$13</definedName>
    <definedName name="Iout">'Variable Management'!$B$13</definedName>
    <definedName name="Iout_OCP_Vinmax" localSheetId="2">'[1]Variable Management'!$B$129</definedName>
    <definedName name="Iout_OCP_Vinmax">'Variable Management'!$B$129</definedName>
    <definedName name="Iout_OCP_Vinmin" localSheetId="2">'[1]Variable Management'!$B$127</definedName>
    <definedName name="Iout_OCP_Vinmin">'Variable Management'!$B$127</definedName>
    <definedName name="Iout_OCP_Vinnom" localSheetId="2">'[1]Variable Management'!$B$128</definedName>
    <definedName name="Iout_OCP_Vinnom">'Variable Management'!$B$128</definedName>
    <definedName name="Iout_threshold" localSheetId="2">'[1]Variable Management'!$B$155</definedName>
    <definedName name="Iout_threshold">'Variable Management'!$B$155</definedName>
    <definedName name="Iq" localSheetId="2">'[1]Variable Management'!$B$364</definedName>
    <definedName name="Iq">'Variable Management'!$B$363</definedName>
    <definedName name="Ireverse" localSheetId="2">'[1]Variable Management'!$B$402</definedName>
    <definedName name="Ireverse">'Variable Management'!$B$401</definedName>
    <definedName name="Iripple_edgebuckboost" localSheetId="2">'[1]Variable Management'!$B$81</definedName>
    <definedName name="Iripple_edgebuckboost">'Variable Management'!$B$81</definedName>
    <definedName name="Iripple_Vinmax" localSheetId="2">'[1]Variable Management'!$B$80</definedName>
    <definedName name="Iripple_Vinmax">'Variable Management'!$B$80</definedName>
    <definedName name="Iripple_Vinmin" localSheetId="2">'[1]Variable Management'!$B$78</definedName>
    <definedName name="Iripple_Vinmin">'Variable Management'!$B$78</definedName>
    <definedName name="Iripple_Vinnom" localSheetId="2">'[1]Variable Management'!$B$79</definedName>
    <definedName name="Iripple_Vinnom">'Variable Management'!$B$79</definedName>
    <definedName name="Isc_const" localSheetId="2">'[1]Variable Management'!$B$242</definedName>
    <definedName name="Isc_const">'Variable Management'!$B$242</definedName>
    <definedName name="Islope_fixed" localSheetId="2">'[1]Variable Management'!$B$143</definedName>
    <definedName name="Islope_fixed">'Variable Management'!$B$143</definedName>
    <definedName name="Iss" localSheetId="2">'[1]Variable Management'!$B$204</definedName>
    <definedName name="Iss">'Variable Management'!$B$204</definedName>
    <definedName name="Iuvlo_hys">'Variable Management'!$B$223</definedName>
    <definedName name="Iuvlo1" localSheetId="2">'[1]Variable Management'!$B$221</definedName>
    <definedName name="Iuvlo1">'Variable Management'!$B$221</definedName>
    <definedName name="Iuvlo2" localSheetId="2">'[1]Variable Management'!$B$222</definedName>
    <definedName name="Iuvlo2">'Variable Management'!$B$222</definedName>
    <definedName name="k" localSheetId="2">'[1]Variable Management'!$B$279</definedName>
    <definedName name="k">'Variable Management'!$B$279</definedName>
    <definedName name="K_1" localSheetId="2">'[1]Variable Management'!$B$283</definedName>
    <definedName name="K_1">'Variable Management'!$B$283</definedName>
    <definedName name="k_boost" localSheetId="2">'[1]Variable Management'!$B$276</definedName>
    <definedName name="k_boost">'Variable Management'!$B$276</definedName>
    <definedName name="k_buck" localSheetId="2">'[1]Variable Management'!$B$274</definedName>
    <definedName name="k_buck">'Variable Management'!$B$274</definedName>
    <definedName name="K_SL" localSheetId="2">'[1]Variable Management'!$B$251</definedName>
    <definedName name="K_SL">'Variable Management'!$B$251</definedName>
    <definedName name="KD">'Variable Management'!$B$284</definedName>
    <definedName name="Kgain_12">[1]Timings!$B$14</definedName>
    <definedName name="KM" localSheetId="2">'[1]Variable Management'!$B$282</definedName>
    <definedName name="KM">'Variable Management'!$B$282</definedName>
    <definedName name="Kratio_23">[1]Timings!$B$15</definedName>
    <definedName name="Lf" localSheetId="2">'[1]Variable Management'!$B$66</definedName>
    <definedName name="Lf">'Variable Management'!$B$66</definedName>
    <definedName name="Lopt" localSheetId="2">'[1]Variable Management'!$B$64</definedName>
    <definedName name="Lopt">'Variable Management'!$B$64</definedName>
    <definedName name="Ltc" localSheetId="2">'[1]Variable Management'!$B$350</definedName>
    <definedName name="Ltc">'Variable Management'!$B$349</definedName>
    <definedName name="MaxTlRise">[1]Timings!$B$41</definedName>
    <definedName name="MaxToffBoost">[1]Timings!$B$35</definedName>
    <definedName name="MaxTonBoost">[1]Timings!$B$34</definedName>
    <definedName name="MaxTonBuck">[1]Timings!$B$30</definedName>
    <definedName name="mc" localSheetId="2">'[1]Variable Management'!$B$278</definedName>
    <definedName name="mc">'Variable Management'!$B$278</definedName>
    <definedName name="mc_boost" localSheetId="2">'[1]Variable Management'!$B$275</definedName>
    <definedName name="mc_boost">'Variable Management'!$B$275</definedName>
    <definedName name="mc_buck" localSheetId="2">'[1]Variable Management'!$B$273</definedName>
    <definedName name="mc_buck">'Variable Management'!$B$273</definedName>
    <definedName name="MinT1FallCtrl">[1]Timings!$B$25</definedName>
    <definedName name="MinT1RiseCtrl">[1]Timings!$B$26</definedName>
    <definedName name="MinTlFall">[1]Timings!$B$37</definedName>
    <definedName name="MinTlRise">[1]Timings!$B$36</definedName>
    <definedName name="MinToffBoost">[1]Timings!$B$33</definedName>
    <definedName name="MinToffBuck">[1]Timings!$B$29</definedName>
    <definedName name="MinTonBoost">[1]Timings!$B$32</definedName>
    <definedName name="MinTonBuck">[1]Timings!$B$28</definedName>
    <definedName name="Pi" localSheetId="2">'[1]Variable Management'!$B$236</definedName>
    <definedName name="Pi">'Variable Management'!$B$236</definedName>
    <definedName name="PICTURE" localSheetId="2">INDIRECT('[1]Efficiency Plot Management'!$A$2)</definedName>
    <definedName name="PICTURE">INDIRECT('Efficiency Plot Management'!$A$2)</definedName>
    <definedName name="PICTURE2" localSheetId="0">INDIRECT('Schematic Management'!$A$2)</definedName>
    <definedName name="PICTURE2" localSheetId="5">INDIRECT('Schematic Management'!$A$2)</definedName>
    <definedName name="PICTURE2">INDIRECT('[1]Schematic Management'!$A$2)</definedName>
    <definedName name="Pin" localSheetId="2">'[1]Variable Management'!$B$17</definedName>
    <definedName name="Pin">'Variable Management'!$B$17</definedName>
    <definedName name="PLOT_TYPE" localSheetId="2">'[1]Variable Management'!$L$10</definedName>
    <definedName name="PLOT_TYPE">'Variable Management'!$L$10</definedName>
    <definedName name="pole1" localSheetId="2">'[1]Stability Calculations'!$K$4</definedName>
    <definedName name="pole1">'Stability Calculations'!$K$4</definedName>
    <definedName name="Pole2" localSheetId="2">'[1]Stability Calculations'!$C$5</definedName>
    <definedName name="Pole2">'Stability Calculations'!$C$5</definedName>
    <definedName name="pole3" localSheetId="2">'[1]Stability Calculations'!$N$3</definedName>
    <definedName name="pole3">'Stability Calculations'!$N$3</definedName>
    <definedName name="pole4" localSheetId="2">'[1]Stability Calculations'!$C$7</definedName>
    <definedName name="pole4">'Stability Calculations'!$C$7</definedName>
    <definedName name="Pout" localSheetId="2">'[1]Variable Management'!$B$15</definedName>
    <definedName name="Pout">'Variable Management'!$B$15</definedName>
    <definedName name="_xlnm.Print_Area" localSheetId="1">'BOM &amp; Schematic'!$A$1:$J$81</definedName>
    <definedName name="_xlnm.Print_Area" localSheetId="0">'Design Converter'!$A$1:$Q$114</definedName>
    <definedName name="pterm1" localSheetId="2">'[1]Stability Calculations'!$N$4</definedName>
    <definedName name="pterm1">'Stability Calculations'!$N$4</definedName>
    <definedName name="pterm2" localSheetId="2">'[1]Stability Calculations'!$N$5</definedName>
    <definedName name="pterm2">'Stability Calculations'!$N$5</definedName>
    <definedName name="Q" localSheetId="2">'[1]Variable Management'!$B$280</definedName>
    <definedName name="Q">'Variable Management'!$B$280</definedName>
    <definedName name="Qg_Q1" localSheetId="2">'[1]Variable Management'!$B$369</definedName>
    <definedName name="Qg_Q1">'Variable Management'!$B$368</definedName>
    <definedName name="Qg_Q2" localSheetId="2">'[1]Variable Management'!$D$369</definedName>
    <definedName name="Qg_Q2">'Variable Management'!$D$368</definedName>
    <definedName name="Qg_Q3" localSheetId="2">'[1]Variable Management'!$B$386</definedName>
    <definedName name="Qg_Q3">'Variable Management'!$B$385</definedName>
    <definedName name="Qg_Q4" localSheetId="2">'[1]Variable Management'!$D$386</definedName>
    <definedName name="Qg_Q4">'Variable Management'!$D$385</definedName>
    <definedName name="Qgd_Q1" localSheetId="2">'[1]Variable Management'!$B$370</definedName>
    <definedName name="Qgd_Q1">'Variable Management'!$B$369</definedName>
    <definedName name="Qgd_Q2">'Variable Management'!$D$369</definedName>
    <definedName name="Qgd_Q3">'Variable Management'!$B$386</definedName>
    <definedName name="Qgd_Q4" localSheetId="2">'[1]Variable Management'!$D$387</definedName>
    <definedName name="Qgd_Q4">'Variable Management'!$D$386</definedName>
    <definedName name="Qgs_Q1" localSheetId="2">'[1]Variable Management'!$B$371</definedName>
    <definedName name="Qgs_Q1">'Variable Management'!$B$370</definedName>
    <definedName name="Qgs_Q2">'Variable Management'!$D$370</definedName>
    <definedName name="Qgs_Q3">'Variable Management'!$B$387</definedName>
    <definedName name="Qgs_Q4" localSheetId="2">'[1]Variable Management'!$D$388</definedName>
    <definedName name="Qgs_Q4">'Variable Management'!$D$387</definedName>
    <definedName name="Qrr_Q1">'Variable Management'!$B$377</definedName>
    <definedName name="Qrr_Q2" localSheetId="2">'[1]Variable Management'!$D$378</definedName>
    <definedName name="Qrr_Q2">'Variable Management'!$D$377</definedName>
    <definedName name="Qrr_Q3" localSheetId="2">'[1]Variable Management'!$B$395</definedName>
    <definedName name="Qrr_Q3">'Variable Management'!$B$394</definedName>
    <definedName name="Qrr_Q4">'Variable Management'!$D$394</definedName>
    <definedName name="QrrSky_Q2" localSheetId="2">'[1]Variable Management'!$B$401</definedName>
    <definedName name="QrrSky_Q2">'Variable Management'!$B$400</definedName>
    <definedName name="QrrSky_Q3" localSheetId="2">'[1]Variable Management'!$D$401</definedName>
    <definedName name="QrrSky_Q3">'Variable Management'!$D$400</definedName>
    <definedName name="radconv" localSheetId="2">'[1]Stability Calculations'!$Q$6</definedName>
    <definedName name="radconv">'Stability Calculations'!$Q$6</definedName>
    <definedName name="Rcea1" localSheetId="2">'[1]Variable Management'!$B$318</definedName>
    <definedName name="Rcea1">'Variable Management'!$B$317</definedName>
    <definedName name="Rcea1_u" localSheetId="2">'[1]Variable Management'!$B$323</definedName>
    <definedName name="Rcea1_u">'Variable Management'!$B$322</definedName>
    <definedName name="RCinEsr" localSheetId="2">'[1]Variable Management'!$B$194</definedName>
    <definedName name="RCinEsr">'Variable Management'!$B$194</definedName>
    <definedName name="RCoutEsr" localSheetId="2">'[1]Variable Management'!$B$173</definedName>
    <definedName name="RCoutEsr">'Variable Management'!$B$173</definedName>
    <definedName name="Rdcr" localSheetId="2">'[1]Variable Management'!$B$67</definedName>
    <definedName name="Rdcr">'Variable Management'!$B$67</definedName>
    <definedName name="Rdson1" localSheetId="2">'[1]Variable Management'!$B$367</definedName>
    <definedName name="Rdson1">'Variable Management'!$B$366</definedName>
    <definedName name="Rdson2" localSheetId="2">'[1]Variable Management'!$D$367</definedName>
    <definedName name="Rdson2">'Variable Management'!$D$366</definedName>
    <definedName name="Rdson3" localSheetId="2">'[1]Variable Management'!$B$384</definedName>
    <definedName name="Rdson3">'Variable Management'!$B$383</definedName>
    <definedName name="Rdson4" localSheetId="2">'[1]Variable Management'!$D$384</definedName>
    <definedName name="Rdson4">'Variable Management'!$D$383</definedName>
    <definedName name="RdsonBotTc" localSheetId="2">'[1]Variable Management'!$B$385</definedName>
    <definedName name="RdsonBotTc">'Variable Management'!$B$384</definedName>
    <definedName name="RdsonDRB" localSheetId="2">'[1]Variable Management'!$B$359</definedName>
    <definedName name="RdsonDRB">'Variable Management'!$B$358</definedName>
    <definedName name="RdsonDRB2" localSheetId="2">'[1]Variable Management'!$B$360</definedName>
    <definedName name="RdsonDRB2">'Variable Management'!$B$359</definedName>
    <definedName name="RdsonDRT" localSheetId="2">'[1]Variable Management'!$B$356</definedName>
    <definedName name="RdsonDRT">'Variable Management'!$B$355</definedName>
    <definedName name="RdsonDRT2" localSheetId="2">'[1]Variable Management'!$B$357</definedName>
    <definedName name="RdsonDRT2">'Variable Management'!$B$356</definedName>
    <definedName name="RdsonTopTc" localSheetId="2">'[1]Variable Management'!$B$368</definedName>
    <definedName name="RdsonTopTc">'Variable Management'!$B$367</definedName>
    <definedName name="Rfadj" localSheetId="2">'[1]Variable Management'!$B$26</definedName>
    <definedName name="Rfadj">'Variable Management'!$B$25</definedName>
    <definedName name="Rfb1_" localSheetId="2">'[1]Variable Management'!$B$333</definedName>
    <definedName name="Rfb1_">'Variable Management'!$B$332</definedName>
    <definedName name="Rfb2_" localSheetId="2">'[1]Variable Management'!$B$334</definedName>
    <definedName name="Rfb2_">'Variable Management'!$B$333</definedName>
    <definedName name="Rfb2_u" localSheetId="2">'[1]Variable Management'!$B$335</definedName>
    <definedName name="Rfb2_u">'Variable Management'!$B$334</definedName>
    <definedName name="Rfets">'Variable Management'!$B$338</definedName>
    <definedName name="Rgate1" localSheetId="2">'[1]Variable Management'!$B$372</definedName>
    <definedName name="Rgate1">'Variable Management'!$B$371</definedName>
    <definedName name="Rgate2" localSheetId="2">'[1]Variable Management'!$D$372</definedName>
    <definedName name="Rgate2">'Variable Management'!$D$371</definedName>
    <definedName name="Rgate3">'Variable Management'!$B$388</definedName>
    <definedName name="Rgate4" localSheetId="2">'[1]Variable Management'!$D$389</definedName>
    <definedName name="Rgate4">'Variable Management'!$D$388</definedName>
    <definedName name="Ri" localSheetId="2">'[1]Variable Management'!$B$238</definedName>
    <definedName name="Ri">'Variable Management'!$B$238</definedName>
    <definedName name="Ro" localSheetId="2">'[1]Variable Management'!$B$303</definedName>
    <definedName name="Ro">'Variable Management'!$B$303</definedName>
    <definedName name="RoEA" localSheetId="2">'[1]Variable Management'!$B$289</definedName>
    <definedName name="RoEA">'Variable Management'!$B$289</definedName>
    <definedName name="Rout" localSheetId="2">'[1]Variable Management'!$B$14</definedName>
    <definedName name="Rout">'Variable Management'!$B$14</definedName>
    <definedName name="Rpg">'Variable Management'!$B$225</definedName>
    <definedName name="Rs" localSheetId="2">'[1]Variable Management'!$B$122</definedName>
    <definedName name="Rs">'Variable Management'!$B$122</definedName>
    <definedName name="Rs_ideal" localSheetId="2">'[1]Variable Management'!$B$121</definedName>
    <definedName name="Rs_ideal">'Variable Management'!$B$121</definedName>
    <definedName name="Rsb">'Variable Management'!$B$226</definedName>
    <definedName name="Rshunt" localSheetId="2">'[1]Variable Management'!$B$156</definedName>
    <definedName name="Rshunt">'Variable Management'!$B$156</definedName>
    <definedName name="Rshunt_std" localSheetId="2">'[1]Standard Value Calculator'!$O$21</definedName>
    <definedName name="Rshunt_std">'Standard Value Calculator'!$O$21</definedName>
    <definedName name="Rslope">'[1]Variable Management'!$B$141</definedName>
    <definedName name="Rslope_ideal">'[1]Variable Management'!$B$139</definedName>
    <definedName name="Ruvlo1" localSheetId="2">'[1]Variable Management'!$B$212</definedName>
    <definedName name="Ruvlo1">'Variable Management'!$B$212</definedName>
    <definedName name="Ruvlo2" localSheetId="2">'[1]Variable Management'!$B$213</definedName>
    <definedName name="Ruvlo2">'Variable Management'!$B$213</definedName>
    <definedName name="SCH_DITH">'Schematic Management'!$B$5</definedName>
    <definedName name="SCH_NO_DITH">'Schematic Management'!$B$8</definedName>
    <definedName name="SCH_WITH_DITH">'Schematic Management'!$B$5</definedName>
    <definedName name="Se" localSheetId="2">'[1]Variable Management'!$B$246</definedName>
    <definedName name="Se">'Variable Management'!$B$246</definedName>
    <definedName name="Se_ext" localSheetId="2">'[1]Variable Management'!$B$254</definedName>
    <definedName name="Se_ext">'Variable Management'!$B$254</definedName>
    <definedName name="Se_fixed" localSheetId="2">'[1]Variable Management'!$B$244</definedName>
    <definedName name="Se_fixed">'Variable Management'!$B$244</definedName>
    <definedName name="Se_proportional" localSheetId="2">'[1]Variable Management'!$B$245</definedName>
    <definedName name="Se_proportional">'Variable Management'!$B$245</definedName>
    <definedName name="Sf" localSheetId="2">'[1]Variable Management'!$B$256</definedName>
    <definedName name="Sf">'Variable Management'!$B$256</definedName>
    <definedName name="Sn" localSheetId="2">'[1]Variable Management'!$B$255</definedName>
    <definedName name="Sn">'Variable Management'!$B$255</definedName>
    <definedName name="T1_to_T2_Fsw">[1]Timings!$B$20</definedName>
    <definedName name="T12_min">[1]Timings!$B$10</definedName>
    <definedName name="T2_to_T3_Fsw">[1]Timings!$B$21</definedName>
    <definedName name="T23_min">[1]Timings!$B$11</definedName>
    <definedName name="T3_to_T4_Fsw">[1]Timings!$B$22</definedName>
    <definedName name="Ta" localSheetId="2">'[1]Variable Management'!$B$348</definedName>
    <definedName name="Ta">'Variable Management'!$B$347</definedName>
    <definedName name="TBubo">[1]Timings!$B$39</definedName>
    <definedName name="Tf_boost" localSheetId="2">'[1]Variable Management'!$D$409</definedName>
    <definedName name="Tf_boost">'Variable Management'!$D$408</definedName>
    <definedName name="Tf_buck" localSheetId="2">'[1]Variable Management'!$B$409</definedName>
    <definedName name="Tf_buck">'Variable Management'!$B$408</definedName>
    <definedName name="ThetaCa" localSheetId="2">'[1]Variable Management'!$B$351</definedName>
    <definedName name="ThetaCa">'Variable Management'!$B$350</definedName>
    <definedName name="ThetaJA_Q1" localSheetId="2">'[1]Variable Management'!$B$380</definedName>
    <definedName name="ThetaJA_Q1">'Variable Management'!$B$379</definedName>
    <definedName name="ThetaJA_Q2" localSheetId="2">'[1]Variable Management'!$D$380</definedName>
    <definedName name="ThetaJA_Q2">'Variable Management'!$D$379</definedName>
    <definedName name="ThetaJA_Q3" localSheetId="2">'[1]Variable Management'!$B$397</definedName>
    <definedName name="ThetaJA_Q3">'Variable Management'!$B$396</definedName>
    <definedName name="ThetaJA_Q4" localSheetId="2">'[1]Variable Management'!$D$397</definedName>
    <definedName name="ThetaJA_Q4">'Variable Management'!$D$396</definedName>
    <definedName name="ThetaJaCtrl" localSheetId="2">'[1]Variable Management'!$B$405</definedName>
    <definedName name="ThetaJaCtrl">'Variable Management'!$B$404</definedName>
    <definedName name="TL">'Variable Management'!$B$96</definedName>
    <definedName name="Toff_min_buck">'Variable Management'!$B$28</definedName>
    <definedName name="Toff_Vinmax" localSheetId="2">'[1]Variable Management'!$B$262</definedName>
    <definedName name="Toff_Vinmax">'Variable Management'!$B$262</definedName>
    <definedName name="Ton_min_boost">'Variable Management'!$B$29</definedName>
    <definedName name="Ton_Vinmin" localSheetId="2">'[1]Variable Management'!$B$264</definedName>
    <definedName name="Ton_Vinmin">'Variable Management'!$B$264</definedName>
    <definedName name="TonBubo">[1]Timings!$B$40</definedName>
    <definedName name="Tr_boost" localSheetId="2">'[1]Variable Management'!$D$408</definedName>
    <definedName name="Tr_boost">'Variable Management'!$D$407</definedName>
    <definedName name="Tr_buck" localSheetId="2">'[1]Variable Management'!$B$408</definedName>
    <definedName name="Tr_buck">'Variable Management'!$B$407</definedName>
    <definedName name="Trr_Q1">'Variable Management'!$B$378</definedName>
    <definedName name="Trr_Q2" localSheetId="2">'[1]Variable Management'!$D$379</definedName>
    <definedName name="Trr_Q2">'Variable Management'!$D$378</definedName>
    <definedName name="Trr_Q3">'Variable Management'!$B$395</definedName>
    <definedName name="Trr_Q4">'Variable Management'!$D$395</definedName>
    <definedName name="Ts">'Variable Management'!$B$23</definedName>
    <definedName name="Tss" localSheetId="2">'[1]Variable Management'!$B$203</definedName>
    <definedName name="Tss">'Variable Management'!$B$203</definedName>
    <definedName name="V_sc_fixed" localSheetId="2">'[1]Variable Management'!$B$248</definedName>
    <definedName name="V_sc_fixed">'Variable Management'!$B$248</definedName>
    <definedName name="V_sc_proportional">'Variable Management'!$B$249</definedName>
    <definedName name="V_sc_total">'Variable Management'!$B$250</definedName>
    <definedName name="Vdd" localSheetId="2">'[1]Variable Management'!$B$354</definedName>
    <definedName name="Vdd">'Variable Management'!$B$353</definedName>
    <definedName name="VfdSky_Q2" localSheetId="2">'[1]Variable Management'!$B$400</definedName>
    <definedName name="VfdSky_Q2">'Variable Management'!$B$399</definedName>
    <definedName name="VfdSky_Q3" localSheetId="2">'[1]Variable Management'!$D$400</definedName>
    <definedName name="VfdSky_Q3">'Variable Management'!$D$399</definedName>
    <definedName name="Vin" localSheetId="2">'[1]Variable Management'!$B$8</definedName>
    <definedName name="Vin">'Variable Management'!$B$8</definedName>
    <definedName name="VIN_BB_to_boost">'[1]Variable Management'!$B$40</definedName>
    <definedName name="VIN_BB_to_buck" localSheetId="2">'[1]Variable Management'!$B$43</definedName>
    <definedName name="VIN_BB_to_buck">'Variable Management'!$B$43</definedName>
    <definedName name="VIN_boost_to_BB" localSheetId="2">'[1]Variable Management'!$B$41</definedName>
    <definedName name="VIN_boost_to_BB">'Variable Management'!$B$41</definedName>
    <definedName name="VIN_edgebuckboost" localSheetId="2">'[1]Variable Management'!$B$10</definedName>
    <definedName name="VIN_edgebuckboost">'Variable Management'!$B$10</definedName>
    <definedName name="VIN_max" localSheetId="2">'[1]Variable Management'!$B$9</definedName>
    <definedName name="VIN_max">'Variable Management'!$B$9</definedName>
    <definedName name="VIN_min" localSheetId="2">'[1]Variable Management'!$B$7</definedName>
    <definedName name="VIN_min">'Variable Management'!$B$7</definedName>
    <definedName name="VIN_nom" localSheetId="2">'[1]Variable Management'!$B$8</definedName>
    <definedName name="VIN_nom">'Variable Management'!$B$8</definedName>
    <definedName name="Vinripple1" localSheetId="2">'[1]Variable Management'!$B$183</definedName>
    <definedName name="Vinripple1">'Variable Management'!$B$183</definedName>
    <definedName name="Vinripple2" localSheetId="2">'[1]Variable Management'!$B$198</definedName>
    <definedName name="Vinripple2">'Variable Management'!$B$198</definedName>
    <definedName name="VINuvlo_off">'Variable Management'!$B$211</definedName>
    <definedName name="VINuvlo_on" localSheetId="2">'[1]Variable Management'!$B$210</definedName>
    <definedName name="VINuvlo_on">'Variable Management'!$B$210</definedName>
    <definedName name="Vout" localSheetId="2">'[1]Variable Management'!$B$12</definedName>
    <definedName name="Vout">'Variable Management'!$B$12</definedName>
    <definedName name="Vref" localSheetId="2">'[1]Variable Management'!$B$24</definedName>
    <definedName name="Vref">'Variable Management'!$B$24</definedName>
    <definedName name="Vripple1" localSheetId="2">'[1]Variable Management'!$B$76</definedName>
    <definedName name="Vripple1">'Variable Management'!$B$76</definedName>
    <definedName name="Vripple2" localSheetId="2">'[1]Variable Management'!$B$174</definedName>
    <definedName name="Vripple2">'Variable Management'!$B$174</definedName>
    <definedName name="Vsd_Q1" localSheetId="2">'[1]Variable Management'!$B$377</definedName>
    <definedName name="Vsd_Q1">'Variable Management'!$B$376</definedName>
    <definedName name="Vsd_Q2" localSheetId="2">'[1]Variable Management'!$D$377</definedName>
    <definedName name="Vsd_Q2">'Variable Management'!$D$376</definedName>
    <definedName name="Vsd_Q3" localSheetId="2">'[1]Variable Management'!$B$394</definedName>
    <definedName name="Vsd_Q3">'Variable Management'!$B$393</definedName>
    <definedName name="Vsd_Q4" localSheetId="2">'[1]Variable Management'!$D$394</definedName>
    <definedName name="Vsd_Q4">'Variable Management'!$D$393</definedName>
    <definedName name="Vsp_Q1" localSheetId="2">'[1]Variable Management'!$B$375</definedName>
    <definedName name="Vsp_Q1">'Variable Management'!$B$374</definedName>
    <definedName name="Vsp_Q2">'Variable Management'!$D$374</definedName>
    <definedName name="Vsp_Q3">'Variable Management'!$B$391</definedName>
    <definedName name="Vsp_Q4" localSheetId="2">'[1]Variable Management'!$D$392</definedName>
    <definedName name="Vsp_Q4">'Variable Management'!$D$391</definedName>
    <definedName name="Vth_Q1" localSheetId="2">'[1]Variable Management'!$B$374</definedName>
    <definedName name="Vth_Q1">'Variable Management'!$B$373</definedName>
    <definedName name="Vth_Q2" localSheetId="2">'[1]Variable Management'!$D$374</definedName>
    <definedName name="Vth_Q2">'Variable Management'!$D$373</definedName>
    <definedName name="Vth_Q3" localSheetId="2">'[1]Variable Management'!$B$391</definedName>
    <definedName name="Vth_Q3">'Variable Management'!$B$390</definedName>
    <definedName name="Vth_Q4" localSheetId="2">'[1]Variable Management'!$D$391</definedName>
    <definedName name="Vth_Q4">'Variable Management'!$D$390</definedName>
    <definedName name="Vuvlo_hys">'Variable Management'!$B$220</definedName>
    <definedName name="Vuvlo_off" localSheetId="2">'[1]Variable Management'!$B$219</definedName>
    <definedName name="Vuvlo_off">'Variable Management'!$B$219</definedName>
    <definedName name="Vuvlo_on" localSheetId="2">'[1]Variable Management'!$B$218</definedName>
    <definedName name="Vuvlo_on">'Variable Management'!$B$218</definedName>
    <definedName name="With_RCS">'[1]Variable Management'!$B$157</definedName>
    <definedName name="z_RHP" localSheetId="2">'[1]Stability Calculations'!$K$5</definedName>
    <definedName name="z_RHP">'Stability Calculations'!$K$5</definedName>
    <definedName name="Zero1" localSheetId="2">'[1]Stability Calculations'!$K$3</definedName>
    <definedName name="Zero1">'Stability Calculations'!$K$3</definedName>
    <definedName name="Zero2" localSheetId="2">'[1]Stability Calculations'!$C$4</definedName>
    <definedName name="Zero2">'Stability Calculations'!$C$4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4" i="2" l="1"/>
  <c r="B133" i="2"/>
  <c r="B132" i="2"/>
  <c r="B290" i="2"/>
  <c r="B291" i="2" s="1"/>
  <c r="D61" i="1" l="1"/>
  <c r="C450" i="2"/>
  <c r="F60" i="1"/>
  <c r="F61" i="1"/>
  <c r="A2" i="22"/>
  <c r="B353" i="2" l="1"/>
  <c r="B68" i="21" l="1"/>
  <c r="B69" i="21" s="1"/>
  <c r="B60" i="21"/>
  <c r="B55" i="21"/>
  <c r="B35" i="21"/>
  <c r="B33" i="21"/>
  <c r="B30" i="21"/>
  <c r="B28" i="21"/>
  <c r="B27" i="21"/>
  <c r="B21" i="21"/>
  <c r="B15" i="21"/>
  <c r="B29" i="2"/>
  <c r="B60" i="20"/>
  <c r="B55" i="20"/>
  <c r="B35" i="20"/>
  <c r="B33" i="20"/>
  <c r="B30" i="20"/>
  <c r="B28" i="20"/>
  <c r="B27" i="20"/>
  <c r="B21" i="20"/>
  <c r="B15" i="20"/>
  <c r="A2" i="19"/>
  <c r="D400" i="2" l="1"/>
  <c r="D399" i="2"/>
  <c r="D396" i="2"/>
  <c r="D394" i="2"/>
  <c r="D393" i="2"/>
  <c r="D390" i="2"/>
  <c r="D389" i="2"/>
  <c r="D387" i="2"/>
  <c r="D386" i="2"/>
  <c r="D385" i="2"/>
  <c r="D383" i="2"/>
  <c r="D379" i="2"/>
  <c r="D377" i="2"/>
  <c r="B54" i="21" s="1"/>
  <c r="D376" i="2"/>
  <c r="B53" i="21" s="1"/>
  <c r="D373" i="2"/>
  <c r="D372" i="2"/>
  <c r="D371" i="2"/>
  <c r="B52" i="21" s="1"/>
  <c r="D370" i="2"/>
  <c r="D369" i="2"/>
  <c r="D368" i="2"/>
  <c r="B51" i="21" s="1"/>
  <c r="D366" i="2"/>
  <c r="B49" i="21" s="1"/>
  <c r="B56" i="20" l="1"/>
  <c r="B56" i="21"/>
  <c r="B52" i="20"/>
  <c r="B54" i="20"/>
  <c r="B51" i="20"/>
  <c r="B53" i="20"/>
  <c r="B49" i="20"/>
  <c r="K175" i="2"/>
  <c r="B389" i="2"/>
  <c r="B390" i="2"/>
  <c r="B386" i="2"/>
  <c r="B387" i="2"/>
  <c r="B377" i="2"/>
  <c r="B438" i="2"/>
  <c r="A55" i="16"/>
  <c r="C72" i="16" l="1"/>
  <c r="B424" i="2"/>
  <c r="A424" i="2"/>
  <c r="A426" i="2"/>
  <c r="B434" i="2"/>
  <c r="A56" i="16"/>
  <c r="A433" i="2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345" i="17"/>
  <c r="V346" i="17"/>
  <c r="V347" i="17"/>
  <c r="V348" i="17"/>
  <c r="V349" i="17"/>
  <c r="V350" i="17"/>
  <c r="V351" i="17"/>
  <c r="V352" i="17"/>
  <c r="V353" i="17"/>
  <c r="V354" i="17"/>
  <c r="V355" i="17"/>
  <c r="V356" i="17"/>
  <c r="V357" i="17"/>
  <c r="V358" i="17"/>
  <c r="V359" i="17"/>
  <c r="V360" i="17"/>
  <c r="V361" i="17"/>
  <c r="V362" i="17"/>
  <c r="V363" i="17"/>
  <c r="V364" i="17"/>
  <c r="V365" i="17"/>
  <c r="V366" i="17"/>
  <c r="V367" i="17"/>
  <c r="V368" i="17"/>
  <c r="V369" i="17"/>
  <c r="V370" i="17"/>
  <c r="V371" i="17"/>
  <c r="V372" i="17"/>
  <c r="V373" i="17"/>
  <c r="V374" i="17"/>
  <c r="V375" i="17"/>
  <c r="V376" i="17"/>
  <c r="V377" i="17"/>
  <c r="V378" i="17"/>
  <c r="V379" i="17"/>
  <c r="V380" i="17"/>
  <c r="V381" i="17"/>
  <c r="V382" i="17"/>
  <c r="V383" i="17"/>
  <c r="V384" i="17"/>
  <c r="V385" i="17"/>
  <c r="V386" i="17"/>
  <c r="V387" i="17"/>
  <c r="V388" i="17"/>
  <c r="V389" i="17"/>
  <c r="V390" i="17"/>
  <c r="V391" i="17"/>
  <c r="V392" i="17"/>
  <c r="V393" i="17"/>
  <c r="V394" i="17"/>
  <c r="V395" i="17"/>
  <c r="V396" i="17"/>
  <c r="V397" i="17"/>
  <c r="V398" i="17"/>
  <c r="V399" i="17"/>
  <c r="V400" i="17"/>
  <c r="V401" i="17"/>
  <c r="V402" i="17"/>
  <c r="V403" i="17"/>
  <c r="V404" i="17"/>
  <c r="V405" i="17"/>
  <c r="V406" i="17"/>
  <c r="V407" i="17"/>
  <c r="V408" i="17"/>
  <c r="V409" i="17"/>
  <c r="V410" i="17"/>
  <c r="V411" i="17"/>
  <c r="V412" i="17"/>
  <c r="V413" i="17"/>
  <c r="V414" i="17"/>
  <c r="V415" i="17"/>
  <c r="V416" i="17"/>
  <c r="V417" i="17"/>
  <c r="V418" i="17"/>
  <c r="V419" i="17"/>
  <c r="V420" i="17"/>
  <c r="V421" i="17"/>
  <c r="V422" i="17"/>
  <c r="V423" i="17"/>
  <c r="V424" i="17"/>
  <c r="V425" i="17"/>
  <c r="V426" i="17"/>
  <c r="V427" i="17"/>
  <c r="V428" i="17"/>
  <c r="V429" i="17"/>
  <c r="V430" i="17"/>
  <c r="V431" i="17"/>
  <c r="V432" i="17"/>
  <c r="V433" i="17"/>
  <c r="V434" i="17"/>
  <c r="V435" i="17"/>
  <c r="V436" i="17"/>
  <c r="V437" i="17"/>
  <c r="V438" i="17"/>
  <c r="V439" i="17"/>
  <c r="V440" i="17"/>
  <c r="V441" i="17"/>
  <c r="V442" i="17"/>
  <c r="V443" i="17"/>
  <c r="V444" i="17"/>
  <c r="V445" i="17"/>
  <c r="V446" i="17"/>
  <c r="V447" i="17"/>
  <c r="V448" i="17"/>
  <c r="V449" i="17"/>
  <c r="V450" i="17"/>
  <c r="V451" i="17"/>
  <c r="V452" i="17"/>
  <c r="V453" i="17"/>
  <c r="V454" i="17"/>
  <c r="V455" i="17"/>
  <c r="V456" i="17"/>
  <c r="V457" i="17"/>
  <c r="V458" i="17"/>
  <c r="V459" i="17"/>
  <c r="V460" i="17"/>
  <c r="V461" i="17"/>
  <c r="V462" i="17"/>
  <c r="V463" i="17"/>
  <c r="V464" i="17"/>
  <c r="V465" i="17"/>
  <c r="V466" i="17"/>
  <c r="V467" i="17"/>
  <c r="V468" i="17"/>
  <c r="V469" i="17"/>
  <c r="V470" i="17"/>
  <c r="V471" i="17"/>
  <c r="V472" i="17"/>
  <c r="V473" i="17"/>
  <c r="V474" i="17"/>
  <c r="V475" i="17"/>
  <c r="V476" i="17"/>
  <c r="V477" i="17"/>
  <c r="V478" i="17"/>
  <c r="V479" i="17"/>
  <c r="V480" i="17"/>
  <c r="V481" i="17"/>
  <c r="V482" i="17"/>
  <c r="V483" i="17"/>
  <c r="V484" i="17"/>
  <c r="V485" i="17"/>
  <c r="V486" i="17"/>
  <c r="V487" i="17"/>
  <c r="V488" i="17"/>
  <c r="V489" i="17"/>
  <c r="V490" i="17"/>
  <c r="V491" i="17"/>
  <c r="V492" i="17"/>
  <c r="V493" i="17"/>
  <c r="V494" i="17"/>
  <c r="V495" i="17"/>
  <c r="V496" i="17"/>
  <c r="V497" i="17"/>
  <c r="V498" i="17"/>
  <c r="V499" i="17"/>
  <c r="V500" i="17"/>
  <c r="V501" i="17"/>
  <c r="V502" i="17"/>
  <c r="V503" i="17"/>
  <c r="V504" i="17"/>
  <c r="V505" i="17"/>
  <c r="V506" i="17"/>
  <c r="V507" i="17"/>
  <c r="V508" i="17"/>
  <c r="V509" i="17"/>
  <c r="V510" i="17"/>
  <c r="V511" i="17"/>
  <c r="V512" i="17"/>
  <c r="V513" i="17"/>
  <c r="V514" i="17"/>
  <c r="V515" i="17"/>
  <c r="V516" i="17"/>
  <c r="V517" i="17"/>
  <c r="V518" i="17"/>
  <c r="V519" i="17"/>
  <c r="V520" i="17"/>
  <c r="V521" i="17"/>
  <c r="V522" i="17"/>
  <c r="V523" i="17"/>
  <c r="V524" i="17"/>
  <c r="V525" i="17"/>
  <c r="V526" i="17"/>
  <c r="V527" i="17"/>
  <c r="V528" i="17"/>
  <c r="V529" i="17"/>
  <c r="V530" i="17"/>
  <c r="V531" i="17"/>
  <c r="V532" i="17"/>
  <c r="V533" i="17"/>
  <c r="V534" i="17"/>
  <c r="V535" i="17"/>
  <c r="V536" i="17"/>
  <c r="V537" i="17"/>
  <c r="V538" i="17"/>
  <c r="V539" i="17"/>
  <c r="V540" i="17"/>
  <c r="V541" i="17"/>
  <c r="V542" i="17"/>
  <c r="V543" i="17"/>
  <c r="V544" i="17"/>
  <c r="V545" i="17"/>
  <c r="V546" i="17"/>
  <c r="V547" i="17"/>
  <c r="V548" i="17"/>
  <c r="V549" i="17"/>
  <c r="V550" i="17"/>
  <c r="V551" i="17"/>
  <c r="V552" i="17"/>
  <c r="V553" i="17"/>
  <c r="V554" i="17"/>
  <c r="V555" i="17"/>
  <c r="V556" i="17"/>
  <c r="V557" i="17"/>
  <c r="V558" i="17"/>
  <c r="V559" i="17"/>
  <c r="V560" i="17"/>
  <c r="V561" i="17"/>
  <c r="V562" i="17"/>
  <c r="V563" i="17"/>
  <c r="V564" i="17"/>
  <c r="V565" i="17"/>
  <c r="V566" i="17"/>
  <c r="V567" i="17"/>
  <c r="V568" i="17"/>
  <c r="V569" i="17"/>
  <c r="V570" i="17"/>
  <c r="V571" i="17"/>
  <c r="V572" i="17"/>
  <c r="V573" i="17"/>
  <c r="V574" i="17"/>
  <c r="V575" i="17"/>
  <c r="V576" i="17"/>
  <c r="V577" i="17"/>
  <c r="V578" i="17"/>
  <c r="V579" i="17"/>
  <c r="V580" i="17"/>
  <c r="V581" i="17"/>
  <c r="V582" i="17"/>
  <c r="V583" i="17"/>
  <c r="V584" i="17"/>
  <c r="V585" i="17"/>
  <c r="V586" i="17"/>
  <c r="V587" i="17"/>
  <c r="V588" i="17"/>
  <c r="V589" i="17"/>
  <c r="V590" i="17"/>
  <c r="V591" i="17"/>
  <c r="V592" i="17"/>
  <c r="V593" i="17"/>
  <c r="V594" i="17"/>
  <c r="V595" i="17"/>
  <c r="V596" i="17"/>
  <c r="V597" i="17"/>
  <c r="V598" i="17"/>
  <c r="V599" i="17"/>
  <c r="V600" i="17"/>
  <c r="V601" i="17"/>
  <c r="V602" i="17"/>
  <c r="V603" i="17"/>
  <c r="V604" i="17"/>
  <c r="V605" i="17"/>
  <c r="V606" i="17"/>
  <c r="V607" i="17"/>
  <c r="V608" i="17"/>
  <c r="V609" i="17"/>
  <c r="V610" i="17"/>
  <c r="V611" i="17"/>
  <c r="V612" i="17"/>
  <c r="V613" i="17"/>
  <c r="I3" i="17" l="1"/>
  <c r="B447" i="2"/>
  <c r="A447" i="2"/>
  <c r="B288" i="2"/>
  <c r="B122" i="2"/>
  <c r="B125" i="2" l="1"/>
  <c r="C65" i="16"/>
  <c r="B238" i="2"/>
  <c r="B124" i="2"/>
  <c r="B326" i="2"/>
  <c r="B446" i="2"/>
  <c r="A446" i="2"/>
  <c r="B445" i="2"/>
  <c r="A445" i="2"/>
  <c r="L294" i="2" l="1"/>
  <c r="B300" i="2"/>
  <c r="AE687" i="17" l="1"/>
  <c r="B14" i="17" l="1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13" i="17"/>
  <c r="B292" i="2"/>
  <c r="C6" i="17" s="1"/>
  <c r="Q6" i="17"/>
  <c r="B428" i="2" l="1"/>
  <c r="A428" i="2"/>
  <c r="B230" i="2"/>
  <c r="B231" i="2" s="1"/>
  <c r="B169" i="2"/>
  <c r="B154" i="2"/>
  <c r="B141" i="2"/>
  <c r="C52" i="16" s="1"/>
  <c r="B100" i="2"/>
  <c r="B212" i="2"/>
  <c r="B8" i="2"/>
  <c r="B9" i="2"/>
  <c r="N47" i="1" l="1"/>
  <c r="N84" i="1"/>
  <c r="H11" i="21"/>
  <c r="H13" i="21"/>
  <c r="H15" i="21"/>
  <c r="H17" i="21"/>
  <c r="H19" i="21"/>
  <c r="H21" i="21"/>
  <c r="H23" i="21"/>
  <c r="H25" i="21"/>
  <c r="H27" i="21"/>
  <c r="H29" i="21"/>
  <c r="H31" i="21"/>
  <c r="H33" i="21"/>
  <c r="H35" i="21"/>
  <c r="H37" i="21"/>
  <c r="H39" i="21"/>
  <c r="H41" i="21"/>
  <c r="H43" i="21"/>
  <c r="H45" i="21"/>
  <c r="H47" i="21"/>
  <c r="H49" i="21"/>
  <c r="H51" i="21"/>
  <c r="H53" i="21"/>
  <c r="H55" i="21"/>
  <c r="H57" i="21"/>
  <c r="H59" i="21"/>
  <c r="H61" i="21"/>
  <c r="H63" i="21"/>
  <c r="H65" i="21"/>
  <c r="H67" i="21"/>
  <c r="H69" i="21"/>
  <c r="H71" i="21"/>
  <c r="H73" i="21"/>
  <c r="H75" i="21"/>
  <c r="H77" i="21"/>
  <c r="H79" i="21"/>
  <c r="H81" i="21"/>
  <c r="H83" i="21"/>
  <c r="H85" i="21"/>
  <c r="H87" i="21"/>
  <c r="H89" i="21"/>
  <c r="H91" i="21"/>
  <c r="H93" i="21"/>
  <c r="H95" i="21"/>
  <c r="H97" i="21"/>
  <c r="H99" i="21"/>
  <c r="H101" i="21"/>
  <c r="H103" i="21"/>
  <c r="H105" i="21"/>
  <c r="H107" i="21"/>
  <c r="H109" i="21"/>
  <c r="H10" i="21"/>
  <c r="H12" i="21"/>
  <c r="H14" i="21"/>
  <c r="H16" i="21"/>
  <c r="H18" i="21"/>
  <c r="H20" i="21"/>
  <c r="H22" i="21"/>
  <c r="H24" i="21"/>
  <c r="H26" i="21"/>
  <c r="H28" i="21"/>
  <c r="H30" i="21"/>
  <c r="H32" i="21"/>
  <c r="H34" i="21"/>
  <c r="H36" i="21"/>
  <c r="H38" i="21"/>
  <c r="H40" i="21"/>
  <c r="H42" i="21"/>
  <c r="H44" i="21"/>
  <c r="H46" i="21"/>
  <c r="H48" i="21"/>
  <c r="H50" i="21"/>
  <c r="H52" i="21"/>
  <c r="H54" i="21"/>
  <c r="H56" i="21"/>
  <c r="H58" i="21"/>
  <c r="H60" i="21"/>
  <c r="H62" i="21"/>
  <c r="H64" i="21"/>
  <c r="H66" i="21"/>
  <c r="H68" i="21"/>
  <c r="H70" i="21"/>
  <c r="H72" i="21"/>
  <c r="H74" i="21"/>
  <c r="H76" i="21"/>
  <c r="H78" i="21"/>
  <c r="H80" i="21"/>
  <c r="H82" i="21"/>
  <c r="H84" i="21"/>
  <c r="H86" i="21"/>
  <c r="H88" i="21"/>
  <c r="H90" i="21"/>
  <c r="H92" i="21"/>
  <c r="H94" i="21"/>
  <c r="H96" i="21"/>
  <c r="H98" i="21"/>
  <c r="H100" i="21"/>
  <c r="H102" i="21"/>
  <c r="H104" i="21"/>
  <c r="H106" i="21"/>
  <c r="H108" i="21"/>
  <c r="H9" i="21"/>
  <c r="B11" i="21"/>
  <c r="B24" i="20"/>
  <c r="B24" i="21"/>
  <c r="B11" i="20"/>
  <c r="B156" i="2"/>
  <c r="B464" i="2" s="1"/>
  <c r="B435" i="2"/>
  <c r="B244" i="2"/>
  <c r="I255" i="2"/>
  <c r="A449" i="2"/>
  <c r="B299" i="2"/>
  <c r="B294" i="2"/>
  <c r="B474" i="2"/>
  <c r="B449" i="2"/>
  <c r="B471" i="2"/>
  <c r="G144" i="2"/>
  <c r="BU17" i="21" l="1"/>
  <c r="B16" i="21"/>
  <c r="BU16" i="21"/>
  <c r="BU15" i="21"/>
  <c r="BU14" i="21"/>
  <c r="BU13" i="21"/>
  <c r="BU12" i="21"/>
  <c r="BU11" i="21"/>
  <c r="BU9" i="21"/>
  <c r="BT17" i="20"/>
  <c r="BT16" i="20"/>
  <c r="B16" i="20"/>
  <c r="BT14" i="20"/>
  <c r="BT12" i="20"/>
  <c r="BT9" i="20"/>
  <c r="BT15" i="20"/>
  <c r="BT13" i="20"/>
  <c r="BT11" i="20"/>
  <c r="N21" i="8"/>
  <c r="A464" i="2"/>
  <c r="N6" i="8"/>
  <c r="E37" i="1"/>
  <c r="F3" i="17"/>
  <c r="CE17" i="21" l="1"/>
  <c r="CC17" i="21"/>
  <c r="CA17" i="21"/>
  <c r="BY17" i="21"/>
  <c r="BW17" i="21"/>
  <c r="CD17" i="21"/>
  <c r="CB17" i="21"/>
  <c r="BZ17" i="21"/>
  <c r="BX17" i="21"/>
  <c r="BV17" i="21"/>
  <c r="CD9" i="21"/>
  <c r="CB9" i="21"/>
  <c r="BZ9" i="21"/>
  <c r="BX9" i="21"/>
  <c r="BV9" i="21"/>
  <c r="CE9" i="21"/>
  <c r="CC9" i="21"/>
  <c r="CA9" i="21"/>
  <c r="BY9" i="21"/>
  <c r="BW9" i="21"/>
  <c r="CD11" i="21"/>
  <c r="CB11" i="21"/>
  <c r="BZ11" i="21"/>
  <c r="BX11" i="21"/>
  <c r="BV11" i="21"/>
  <c r="CE11" i="21"/>
  <c r="CC11" i="21"/>
  <c r="CA11" i="21"/>
  <c r="BY11" i="21"/>
  <c r="BW11" i="21"/>
  <c r="CD12" i="21"/>
  <c r="CB12" i="21"/>
  <c r="BZ12" i="21"/>
  <c r="BX12" i="21"/>
  <c r="BV12" i="21"/>
  <c r="CE12" i="21"/>
  <c r="CC12" i="21"/>
  <c r="CA12" i="21"/>
  <c r="BY12" i="21"/>
  <c r="BW12" i="21"/>
  <c r="CD13" i="21"/>
  <c r="CB13" i="21"/>
  <c r="BZ13" i="21"/>
  <c r="BX13" i="21"/>
  <c r="BV13" i="21"/>
  <c r="CE13" i="21"/>
  <c r="CC13" i="21"/>
  <c r="CA13" i="21"/>
  <c r="BY13" i="21"/>
  <c r="BW13" i="21"/>
  <c r="CD14" i="21"/>
  <c r="CB14" i="21"/>
  <c r="BZ14" i="21"/>
  <c r="BX14" i="21"/>
  <c r="BV14" i="21"/>
  <c r="CE14" i="21"/>
  <c r="CC14" i="21"/>
  <c r="CA14" i="21"/>
  <c r="BY14" i="21"/>
  <c r="BW14" i="21"/>
  <c r="CD15" i="21"/>
  <c r="CB15" i="21"/>
  <c r="BZ15" i="21"/>
  <c r="BX15" i="21"/>
  <c r="BV15" i="21"/>
  <c r="CE15" i="21"/>
  <c r="CC15" i="21"/>
  <c r="CA15" i="21"/>
  <c r="BY15" i="21"/>
  <c r="BW15" i="21"/>
  <c r="CD16" i="21"/>
  <c r="CB16" i="21"/>
  <c r="BZ16" i="21"/>
  <c r="BX16" i="21"/>
  <c r="BV16" i="21"/>
  <c r="CE16" i="21"/>
  <c r="CC16" i="21"/>
  <c r="CA16" i="21"/>
  <c r="BY16" i="21"/>
  <c r="BW16" i="21"/>
  <c r="CC9" i="20"/>
  <c r="CA9" i="20"/>
  <c r="BY9" i="20"/>
  <c r="BW9" i="20"/>
  <c r="BU9" i="20"/>
  <c r="CD9" i="20"/>
  <c r="CB9" i="20"/>
  <c r="BZ9" i="20"/>
  <c r="BX9" i="20"/>
  <c r="BV9" i="20"/>
  <c r="CD12" i="20"/>
  <c r="CB12" i="20"/>
  <c r="BZ12" i="20"/>
  <c r="BX12" i="20"/>
  <c r="BV12" i="20"/>
  <c r="CC12" i="20"/>
  <c r="CA12" i="20"/>
  <c r="BY12" i="20"/>
  <c r="BW12" i="20"/>
  <c r="BU12" i="20"/>
  <c r="CD14" i="20"/>
  <c r="CB14" i="20"/>
  <c r="BZ14" i="20"/>
  <c r="BX14" i="20"/>
  <c r="BV14" i="20"/>
  <c r="CC14" i="20"/>
  <c r="CA14" i="20"/>
  <c r="BY14" i="20"/>
  <c r="BW14" i="20"/>
  <c r="BU14" i="20"/>
  <c r="CC11" i="20"/>
  <c r="CA11" i="20"/>
  <c r="BY11" i="20"/>
  <c r="BW11" i="20"/>
  <c r="BU11" i="20"/>
  <c r="CD11" i="20"/>
  <c r="CB11" i="20"/>
  <c r="BZ11" i="20"/>
  <c r="BX11" i="20"/>
  <c r="BV11" i="20"/>
  <c r="CC13" i="20"/>
  <c r="CA13" i="20"/>
  <c r="BY13" i="20"/>
  <c r="BW13" i="20"/>
  <c r="BU13" i="20"/>
  <c r="CD13" i="20"/>
  <c r="CB13" i="20"/>
  <c r="BZ13" i="20"/>
  <c r="BX13" i="20"/>
  <c r="BV13" i="20"/>
  <c r="CC15" i="20"/>
  <c r="CA15" i="20"/>
  <c r="BY15" i="20"/>
  <c r="BW15" i="20"/>
  <c r="BU15" i="20"/>
  <c r="CD15" i="20"/>
  <c r="CB15" i="20"/>
  <c r="BZ15" i="20"/>
  <c r="BX15" i="20"/>
  <c r="BV15" i="20"/>
  <c r="CD16" i="20"/>
  <c r="CB16" i="20"/>
  <c r="BZ16" i="20"/>
  <c r="BX16" i="20"/>
  <c r="BV16" i="20"/>
  <c r="CC16" i="20"/>
  <c r="CA16" i="20"/>
  <c r="BY16" i="20"/>
  <c r="BW16" i="20"/>
  <c r="BU16" i="20"/>
  <c r="CD17" i="20"/>
  <c r="CB17" i="20"/>
  <c r="BZ17" i="20"/>
  <c r="BX17" i="20"/>
  <c r="BV17" i="20"/>
  <c r="CC17" i="20"/>
  <c r="BY17" i="20"/>
  <c r="BU17" i="20"/>
  <c r="CA17" i="20"/>
  <c r="BW17" i="20"/>
  <c r="B22" i="2"/>
  <c r="B25" i="2" s="1"/>
  <c r="B13" i="21" l="1"/>
  <c r="B78" i="21"/>
  <c r="B23" i="2"/>
  <c r="B36" i="2" s="1"/>
  <c r="B13" i="20"/>
  <c r="B78" i="20"/>
  <c r="B414" i="2"/>
  <c r="B251" i="2"/>
  <c r="B314" i="2"/>
  <c r="B248" i="2"/>
  <c r="N3" i="17"/>
  <c r="N5" i="17" s="1"/>
  <c r="N19" i="8"/>
  <c r="H3" i="8" s="1"/>
  <c r="D62" i="16"/>
  <c r="B32" i="2" l="1"/>
  <c r="B37" i="2"/>
  <c r="B33" i="2"/>
  <c r="B54" i="2" s="1"/>
  <c r="B34" i="2"/>
  <c r="B38" i="2"/>
  <c r="A626" i="17"/>
  <c r="C636" i="17"/>
  <c r="I63" i="16"/>
  <c r="I62" i="16"/>
  <c r="D63" i="16" l="1"/>
  <c r="C68" i="16"/>
  <c r="D68" i="16" s="1"/>
  <c r="D70" i="16"/>
  <c r="D74" i="16"/>
  <c r="C61" i="16"/>
  <c r="D59" i="16"/>
  <c r="D56" i="16"/>
  <c r="D55" i="16"/>
  <c r="D58" i="16"/>
  <c r="D53" i="16"/>
  <c r="D49" i="16"/>
  <c r="B451" i="2"/>
  <c r="B210" i="2"/>
  <c r="B213" i="2" s="1"/>
  <c r="B220" i="2"/>
  <c r="B223" i="2"/>
  <c r="F71" i="1" l="1"/>
  <c r="N16" i="8" l="1"/>
  <c r="O16" i="8" s="1"/>
  <c r="E212" i="2" s="1"/>
  <c r="H212" i="2" s="1"/>
  <c r="D77" i="1"/>
  <c r="G212" i="2" l="1"/>
  <c r="N17" i="8"/>
  <c r="O17" i="8" s="1"/>
  <c r="E213" i="2" s="1"/>
  <c r="B216" i="2" l="1"/>
  <c r="E63" i="1" s="1"/>
  <c r="E65" i="1"/>
  <c r="G213" i="2"/>
  <c r="D72" i="16"/>
  <c r="H213" i="2"/>
  <c r="B215" i="2"/>
  <c r="C73" i="16" l="1"/>
  <c r="D73" i="16" s="1"/>
  <c r="B425" i="2"/>
  <c r="A425" i="2"/>
  <c r="B173" i="2"/>
  <c r="B316" i="2"/>
  <c r="B320" i="2" s="1"/>
  <c r="B12" i="2"/>
  <c r="BK8" i="21" s="1"/>
  <c r="B13" i="2"/>
  <c r="B66" i="2"/>
  <c r="B139" i="2" s="1"/>
  <c r="B183" i="2"/>
  <c r="B400" i="2"/>
  <c r="B371" i="2"/>
  <c r="B42" i="21" s="1"/>
  <c r="B426" i="2"/>
  <c r="B433" i="2"/>
  <c r="B67" i="2"/>
  <c r="B19" i="21" s="1"/>
  <c r="B7" i="2"/>
  <c r="L72" i="2" s="1"/>
  <c r="B189" i="2"/>
  <c r="B366" i="2"/>
  <c r="B37" i="21" s="1"/>
  <c r="B383" i="2"/>
  <c r="B332" i="2"/>
  <c r="N9" i="8" s="1"/>
  <c r="B396" i="2"/>
  <c r="B399" i="2"/>
  <c r="B58" i="21" s="1"/>
  <c r="B393" i="2"/>
  <c r="B203" i="2"/>
  <c r="B368" i="2"/>
  <c r="B385" i="2"/>
  <c r="B394" i="2"/>
  <c r="B376" i="2"/>
  <c r="B369" i="2"/>
  <c r="B370" i="2"/>
  <c r="B41" i="21" s="1"/>
  <c r="B373" i="2"/>
  <c r="B372" i="2"/>
  <c r="B43" i="21" s="1"/>
  <c r="B473" i="2"/>
  <c r="B379" i="2"/>
  <c r="B349" i="2"/>
  <c r="B194" i="2"/>
  <c r="B367" i="2"/>
  <c r="B384" i="2"/>
  <c r="D6" i="6"/>
  <c r="D7" i="6"/>
  <c r="D9" i="6"/>
  <c r="D10" i="6"/>
  <c r="D2" i="11"/>
  <c r="D3" i="11"/>
  <c r="B5" i="11"/>
  <c r="D5" i="11" s="1"/>
  <c r="A34" i="8"/>
  <c r="A46" i="8" s="1"/>
  <c r="A58" i="8" s="1"/>
  <c r="A70" i="8" s="1"/>
  <c r="A82" i="8" s="1"/>
  <c r="A94" i="8" s="1"/>
  <c r="A106" i="8" s="1"/>
  <c r="A118" i="8" s="1"/>
  <c r="A130" i="8" s="1"/>
  <c r="A142" i="8" s="1"/>
  <c r="A154" i="8" s="1"/>
  <c r="A35" i="8"/>
  <c r="A47" i="8" s="1"/>
  <c r="A59" i="8" s="1"/>
  <c r="A71" i="8" s="1"/>
  <c r="A83" i="8" s="1"/>
  <c r="A95" i="8" s="1"/>
  <c r="A107" i="8" s="1"/>
  <c r="A119" i="8" s="1"/>
  <c r="A131" i="8" s="1"/>
  <c r="A143" i="8" s="1"/>
  <c r="A155" i="8" s="1"/>
  <c r="A36" i="8"/>
  <c r="A48" i="8" s="1"/>
  <c r="A60" i="8" s="1"/>
  <c r="A72" i="8" s="1"/>
  <c r="A84" i="8" s="1"/>
  <c r="A96" i="8" s="1"/>
  <c r="A108" i="8" s="1"/>
  <c r="A120" i="8" s="1"/>
  <c r="A132" i="8" s="1"/>
  <c r="A144" i="8" s="1"/>
  <c r="A156" i="8" s="1"/>
  <c r="A37" i="8"/>
  <c r="A49" i="8" s="1"/>
  <c r="A61" i="8" s="1"/>
  <c r="A73" i="8" s="1"/>
  <c r="A85" i="8" s="1"/>
  <c r="A97" i="8" s="1"/>
  <c r="A109" i="8" s="1"/>
  <c r="A121" i="8" s="1"/>
  <c r="A133" i="8" s="1"/>
  <c r="A145" i="8" s="1"/>
  <c r="A157" i="8" s="1"/>
  <c r="A38" i="8"/>
  <c r="A39" i="8"/>
  <c r="A40" i="8"/>
  <c r="A41" i="8"/>
  <c r="A42" i="8"/>
  <c r="A54" i="8" s="1"/>
  <c r="A66" i="8" s="1"/>
  <c r="A78" i="8" s="1"/>
  <c r="A90" i="8" s="1"/>
  <c r="A102" i="8" s="1"/>
  <c r="A114" i="8" s="1"/>
  <c r="A126" i="8" s="1"/>
  <c r="A138" i="8" s="1"/>
  <c r="A150" i="8" s="1"/>
  <c r="A43" i="8"/>
  <c r="A55" i="8" s="1"/>
  <c r="A67" i="8" s="1"/>
  <c r="A79" i="8" s="1"/>
  <c r="A91" i="8" s="1"/>
  <c r="A103" i="8" s="1"/>
  <c r="A115" i="8" s="1"/>
  <c r="A127" i="8" s="1"/>
  <c r="A139" i="8" s="1"/>
  <c r="A151" i="8" s="1"/>
  <c r="A44" i="8"/>
  <c r="A56" i="8" s="1"/>
  <c r="A68" i="8" s="1"/>
  <c r="A80" i="8" s="1"/>
  <c r="A92" i="8" s="1"/>
  <c r="A104" i="8" s="1"/>
  <c r="A116" i="8" s="1"/>
  <c r="A128" i="8" s="1"/>
  <c r="A140" i="8" s="1"/>
  <c r="A152" i="8" s="1"/>
  <c r="A45" i="8"/>
  <c r="A57" i="8" s="1"/>
  <c r="A69" i="8" s="1"/>
  <c r="A81" i="8" s="1"/>
  <c r="A93" i="8" s="1"/>
  <c r="A105" i="8" s="1"/>
  <c r="A117" i="8" s="1"/>
  <c r="A129" i="8" s="1"/>
  <c r="A141" i="8" s="1"/>
  <c r="A153" i="8" s="1"/>
  <c r="A50" i="8"/>
  <c r="A62" i="8" s="1"/>
  <c r="A74" i="8" s="1"/>
  <c r="A86" i="8" s="1"/>
  <c r="A98" i="8" s="1"/>
  <c r="A110" i="8" s="1"/>
  <c r="A122" i="8" s="1"/>
  <c r="A134" i="8" s="1"/>
  <c r="A146" i="8" s="1"/>
  <c r="A158" i="8" s="1"/>
  <c r="A51" i="8"/>
  <c r="A63" i="8" s="1"/>
  <c r="A75" i="8" s="1"/>
  <c r="A87" i="8" s="1"/>
  <c r="A99" i="8" s="1"/>
  <c r="A111" i="8" s="1"/>
  <c r="A123" i="8" s="1"/>
  <c r="A135" i="8" s="1"/>
  <c r="A147" i="8" s="1"/>
  <c r="A159" i="8" s="1"/>
  <c r="A52" i="8"/>
  <c r="A64" i="8" s="1"/>
  <c r="A76" i="8" s="1"/>
  <c r="A88" i="8" s="1"/>
  <c r="A100" i="8" s="1"/>
  <c r="A112" i="8" s="1"/>
  <c r="A124" i="8" s="1"/>
  <c r="A136" i="8" s="1"/>
  <c r="A148" i="8" s="1"/>
  <c r="A53" i="8"/>
  <c r="A65" i="8" s="1"/>
  <c r="A77" i="8" s="1"/>
  <c r="A89" i="8" s="1"/>
  <c r="A101" i="8" s="1"/>
  <c r="A113" i="8" s="1"/>
  <c r="A125" i="8" s="1"/>
  <c r="A137" i="8" s="1"/>
  <c r="A149" i="8" s="1"/>
  <c r="I3" i="8"/>
  <c r="J3" i="8"/>
  <c r="B76" i="2"/>
  <c r="B165" i="2" s="1"/>
  <c r="A431" i="2"/>
  <c r="B431" i="2"/>
  <c r="A451" i="2"/>
  <c r="B472" i="2"/>
  <c r="B475" i="2" l="1"/>
  <c r="A46" i="16"/>
  <c r="AX9" i="21"/>
  <c r="AX10" i="21"/>
  <c r="AX11" i="21"/>
  <c r="AX12" i="21"/>
  <c r="AX13" i="21"/>
  <c r="AX14" i="21"/>
  <c r="AX15" i="21"/>
  <c r="AX16" i="21"/>
  <c r="AX17" i="21"/>
  <c r="AX18" i="21"/>
  <c r="AX19" i="21"/>
  <c r="AX20" i="21"/>
  <c r="AX21" i="21"/>
  <c r="AX22" i="21"/>
  <c r="AX23" i="21"/>
  <c r="AX24" i="21"/>
  <c r="AX25" i="21"/>
  <c r="AX26" i="21"/>
  <c r="AX27" i="21"/>
  <c r="AX28" i="21"/>
  <c r="AX29" i="21"/>
  <c r="AX30" i="21"/>
  <c r="AX31" i="21"/>
  <c r="AX32" i="21"/>
  <c r="AX33" i="21"/>
  <c r="AX34" i="21"/>
  <c r="AX35" i="21"/>
  <c r="AX36" i="21"/>
  <c r="AX37" i="21"/>
  <c r="AX38" i="21"/>
  <c r="AX39" i="21"/>
  <c r="AX40" i="21"/>
  <c r="AX41" i="21"/>
  <c r="AX42" i="21"/>
  <c r="AX43" i="21"/>
  <c r="AX44" i="21"/>
  <c r="AX45" i="21"/>
  <c r="AX46" i="21"/>
  <c r="AX47" i="21"/>
  <c r="AX48" i="21"/>
  <c r="AX49" i="21"/>
  <c r="AX50" i="21"/>
  <c r="AX51" i="21"/>
  <c r="AX52" i="21"/>
  <c r="AX53" i="21"/>
  <c r="AX54" i="21"/>
  <c r="AX55" i="21"/>
  <c r="AX56" i="21"/>
  <c r="AX57" i="21"/>
  <c r="AX58" i="21"/>
  <c r="AX59" i="21"/>
  <c r="AX60" i="21"/>
  <c r="AX61" i="21"/>
  <c r="AX62" i="21"/>
  <c r="AX63" i="21"/>
  <c r="AX64" i="21"/>
  <c r="AX65" i="21"/>
  <c r="AX66" i="21"/>
  <c r="AX67" i="21"/>
  <c r="AX68" i="21"/>
  <c r="AX69" i="21"/>
  <c r="AX70" i="21"/>
  <c r="AX71" i="21"/>
  <c r="AX72" i="21"/>
  <c r="AX73" i="21"/>
  <c r="AX74" i="21"/>
  <c r="AX75" i="21"/>
  <c r="AX76" i="21"/>
  <c r="AX77" i="21"/>
  <c r="AX78" i="21"/>
  <c r="AX79" i="21"/>
  <c r="AX80" i="21"/>
  <c r="AX81" i="21"/>
  <c r="AX82" i="21"/>
  <c r="AX83" i="21"/>
  <c r="AX84" i="21"/>
  <c r="AX85" i="21"/>
  <c r="AX86" i="21"/>
  <c r="AX87" i="21"/>
  <c r="AX88" i="21"/>
  <c r="AX89" i="21"/>
  <c r="AX90" i="21"/>
  <c r="AX91" i="21"/>
  <c r="AX92" i="21"/>
  <c r="AX93" i="21"/>
  <c r="AX94" i="21"/>
  <c r="AX95" i="21"/>
  <c r="AX96" i="21"/>
  <c r="AX97" i="21"/>
  <c r="AX98" i="21"/>
  <c r="AX99" i="21"/>
  <c r="AX100" i="21"/>
  <c r="AX101" i="21"/>
  <c r="AX102" i="21"/>
  <c r="AX103" i="21"/>
  <c r="AX104" i="21"/>
  <c r="AX105" i="21"/>
  <c r="AX106" i="21"/>
  <c r="AX107" i="21"/>
  <c r="AX108" i="21"/>
  <c r="AX109" i="21"/>
  <c r="B4" i="11"/>
  <c r="D4" i="11" s="1"/>
  <c r="B6" i="11" s="1"/>
  <c r="D6" i="11" s="1"/>
  <c r="B38" i="21"/>
  <c r="B38" i="20"/>
  <c r="B20" i="21"/>
  <c r="B20" i="20"/>
  <c r="B44" i="20"/>
  <c r="B44" i="21"/>
  <c r="B40" i="20"/>
  <c r="B40" i="21"/>
  <c r="B39" i="21"/>
  <c r="B77" i="21"/>
  <c r="AZ108" i="21"/>
  <c r="AZ104" i="21"/>
  <c r="AZ100" i="21"/>
  <c r="AZ96" i="21"/>
  <c r="AZ92" i="21"/>
  <c r="AZ88" i="21"/>
  <c r="AZ84" i="21"/>
  <c r="AZ80" i="21"/>
  <c r="AZ79" i="21"/>
  <c r="AZ73" i="21"/>
  <c r="AZ59" i="21"/>
  <c r="AZ52" i="21"/>
  <c r="AZ45" i="21"/>
  <c r="AZ37" i="21"/>
  <c r="AZ28" i="21"/>
  <c r="AZ69" i="21"/>
  <c r="AZ64" i="21"/>
  <c r="AZ60" i="21"/>
  <c r="AZ51" i="21"/>
  <c r="AZ42" i="21"/>
  <c r="AZ35" i="21"/>
  <c r="AZ27" i="21"/>
  <c r="AZ20" i="21"/>
  <c r="AZ16" i="21"/>
  <c r="AZ14" i="21"/>
  <c r="AZ12" i="21"/>
  <c r="AZ9" i="21"/>
  <c r="AZ173" i="20"/>
  <c r="AZ156" i="20"/>
  <c r="AZ141" i="20"/>
  <c r="AZ124" i="20"/>
  <c r="AZ207" i="20"/>
  <c r="AZ197" i="20"/>
  <c r="AZ179" i="20"/>
  <c r="AZ163" i="20"/>
  <c r="AZ147" i="20"/>
  <c r="AZ131" i="20"/>
  <c r="AZ116" i="20"/>
  <c r="AZ194" i="20"/>
  <c r="AZ180" i="20"/>
  <c r="AZ161" i="20"/>
  <c r="AZ144" i="20"/>
  <c r="AZ128" i="20"/>
  <c r="AZ114" i="20"/>
  <c r="AZ202" i="20"/>
  <c r="AZ109" i="21"/>
  <c r="AZ105" i="21"/>
  <c r="AZ101" i="21"/>
  <c r="AZ97" i="21"/>
  <c r="AZ93" i="21"/>
  <c r="AZ89" i="21"/>
  <c r="AZ85" i="21"/>
  <c r="AZ81" i="21"/>
  <c r="AZ72" i="21"/>
  <c r="AZ74" i="21"/>
  <c r="AZ68" i="21"/>
  <c r="AZ54" i="21"/>
  <c r="AZ47" i="21"/>
  <c r="AZ39" i="21"/>
  <c r="AZ29" i="21"/>
  <c r="AZ23" i="21"/>
  <c r="AZ65" i="21"/>
  <c r="AZ61" i="21"/>
  <c r="AZ53" i="21"/>
  <c r="AZ44" i="21"/>
  <c r="AZ36" i="21"/>
  <c r="AZ30" i="21"/>
  <c r="AZ21" i="21"/>
  <c r="AZ17" i="21"/>
  <c r="AZ181" i="20"/>
  <c r="AZ168" i="20"/>
  <c r="AZ152" i="20"/>
  <c r="AZ135" i="20"/>
  <c r="AZ120" i="20"/>
  <c r="AZ205" i="20"/>
  <c r="AZ193" i="20"/>
  <c r="AZ175" i="20"/>
  <c r="AZ159" i="20"/>
  <c r="AZ145" i="20"/>
  <c r="AZ129" i="20"/>
  <c r="AZ112" i="20"/>
  <c r="AZ189" i="20"/>
  <c r="AZ176" i="20"/>
  <c r="AZ157" i="20"/>
  <c r="AZ142" i="20"/>
  <c r="AZ125" i="20"/>
  <c r="AZ209" i="20"/>
  <c r="AZ185" i="20"/>
  <c r="AZ106" i="21"/>
  <c r="AZ102" i="21"/>
  <c r="AZ98" i="21"/>
  <c r="AZ94" i="21"/>
  <c r="AZ90" i="21"/>
  <c r="AZ86" i="21"/>
  <c r="AZ82" i="21"/>
  <c r="AZ75" i="21"/>
  <c r="AZ76" i="21"/>
  <c r="AZ70" i="21"/>
  <c r="AZ56" i="21"/>
  <c r="AZ48" i="21"/>
  <c r="AZ41" i="21"/>
  <c r="AZ33" i="21"/>
  <c r="AZ25" i="21"/>
  <c r="AZ66" i="21"/>
  <c r="AZ62" i="21"/>
  <c r="AZ55" i="21"/>
  <c r="AZ46" i="21"/>
  <c r="AZ38" i="21"/>
  <c r="AZ31" i="21"/>
  <c r="AZ22" i="21"/>
  <c r="AZ19" i="21"/>
  <c r="AZ15" i="21"/>
  <c r="AZ13" i="21"/>
  <c r="AZ11" i="21"/>
  <c r="AZ184" i="20"/>
  <c r="AZ164" i="20"/>
  <c r="AZ148" i="20"/>
  <c r="AZ133" i="20"/>
  <c r="AZ115" i="20"/>
  <c r="AZ203" i="20"/>
  <c r="AZ190" i="20"/>
  <c r="AZ171" i="20"/>
  <c r="AZ155" i="20"/>
  <c r="AZ139" i="20"/>
  <c r="AZ123" i="20"/>
  <c r="AZ208" i="20"/>
  <c r="AZ187" i="20"/>
  <c r="AZ172" i="20"/>
  <c r="AZ153" i="20"/>
  <c r="AZ136" i="20"/>
  <c r="AZ122" i="20"/>
  <c r="AZ206" i="20"/>
  <c r="AZ196" i="20"/>
  <c r="AZ107" i="21"/>
  <c r="AZ103" i="21"/>
  <c r="AZ99" i="21"/>
  <c r="AZ95" i="21"/>
  <c r="AZ91" i="21"/>
  <c r="AZ87" i="21"/>
  <c r="AZ83" i="21"/>
  <c r="AZ77" i="21"/>
  <c r="AZ78" i="21"/>
  <c r="AZ71" i="21"/>
  <c r="AZ57" i="21"/>
  <c r="AZ50" i="21"/>
  <c r="AZ43" i="21"/>
  <c r="AZ34" i="21"/>
  <c r="AZ26" i="21"/>
  <c r="AZ67" i="21"/>
  <c r="AZ63" i="21"/>
  <c r="AZ58" i="21"/>
  <c r="AZ49" i="21"/>
  <c r="AZ40" i="21"/>
  <c r="AZ32" i="21"/>
  <c r="AZ24" i="21"/>
  <c r="AZ18" i="21"/>
  <c r="AZ10" i="21"/>
  <c r="AZ177" i="20"/>
  <c r="AZ160" i="20"/>
  <c r="AZ143" i="20"/>
  <c r="AZ127" i="20"/>
  <c r="AZ111" i="20"/>
  <c r="AZ201" i="20"/>
  <c r="AZ183" i="20"/>
  <c r="AZ167" i="20"/>
  <c r="AZ151" i="20"/>
  <c r="AZ137" i="20"/>
  <c r="AZ119" i="20"/>
  <c r="AZ198" i="20"/>
  <c r="AZ169" i="20"/>
  <c r="AZ165" i="20"/>
  <c r="AZ149" i="20"/>
  <c r="AZ134" i="20"/>
  <c r="AZ204" i="20"/>
  <c r="AZ186" i="20"/>
  <c r="AZ170" i="20"/>
  <c r="AZ154" i="20"/>
  <c r="AZ138" i="20"/>
  <c r="AZ121" i="20"/>
  <c r="AZ199" i="20"/>
  <c r="AZ191" i="20"/>
  <c r="AZ174" i="20"/>
  <c r="AZ158" i="20"/>
  <c r="AZ140" i="20"/>
  <c r="AZ126" i="20"/>
  <c r="AZ110" i="20"/>
  <c r="AZ188" i="20"/>
  <c r="AZ118" i="20"/>
  <c r="AZ200" i="20"/>
  <c r="AZ178" i="20"/>
  <c r="AZ162" i="20"/>
  <c r="AZ146" i="20"/>
  <c r="AZ130" i="20"/>
  <c r="AZ113" i="20"/>
  <c r="AZ192" i="20"/>
  <c r="AZ182" i="20"/>
  <c r="AZ166" i="20"/>
  <c r="AZ150" i="20"/>
  <c r="AZ132" i="20"/>
  <c r="AZ117" i="20"/>
  <c r="AZ195" i="20"/>
  <c r="B59" i="20"/>
  <c r="B59" i="21"/>
  <c r="B18" i="20"/>
  <c r="B18" i="21"/>
  <c r="B12" i="21"/>
  <c r="BC9" i="21"/>
  <c r="BF8" i="21"/>
  <c r="L9" i="21"/>
  <c r="BE8" i="21"/>
  <c r="BL8" i="21"/>
  <c r="B25" i="20"/>
  <c r="B25" i="21"/>
  <c r="B50" i="21"/>
  <c r="B50" i="20"/>
  <c r="B23" i="20"/>
  <c r="B23" i="21"/>
  <c r="B47" i="20"/>
  <c r="B47" i="21"/>
  <c r="B46" i="20"/>
  <c r="B46" i="21"/>
  <c r="K21" i="20"/>
  <c r="BC21" i="20" s="1"/>
  <c r="K23" i="20"/>
  <c r="BC23" i="20" s="1"/>
  <c r="K22" i="20"/>
  <c r="BC22" i="20" s="1"/>
  <c r="K13" i="21"/>
  <c r="K15" i="21"/>
  <c r="K17" i="21"/>
  <c r="K19" i="21"/>
  <c r="K21" i="21"/>
  <c r="K23" i="21"/>
  <c r="K25" i="21"/>
  <c r="K27" i="21"/>
  <c r="K29" i="21"/>
  <c r="K31" i="21"/>
  <c r="K33" i="21"/>
  <c r="K35" i="21"/>
  <c r="K37" i="21"/>
  <c r="K39" i="21"/>
  <c r="K41" i="21"/>
  <c r="K43" i="21"/>
  <c r="K45" i="21"/>
  <c r="K47" i="21"/>
  <c r="K49" i="21"/>
  <c r="K51" i="21"/>
  <c r="K53" i="21"/>
  <c r="K55" i="21"/>
  <c r="K57" i="21"/>
  <c r="K59" i="21"/>
  <c r="K61" i="21"/>
  <c r="K63" i="21"/>
  <c r="K65" i="21"/>
  <c r="K67" i="21"/>
  <c r="K69" i="21"/>
  <c r="K71" i="21"/>
  <c r="K73" i="21"/>
  <c r="K75" i="21"/>
  <c r="K77" i="21"/>
  <c r="K79" i="21"/>
  <c r="K81" i="21"/>
  <c r="K83" i="21"/>
  <c r="K85" i="21"/>
  <c r="K87" i="21"/>
  <c r="K89" i="21"/>
  <c r="K91" i="21"/>
  <c r="K93" i="21"/>
  <c r="K95" i="21"/>
  <c r="K97" i="21"/>
  <c r="K99" i="21"/>
  <c r="K101" i="21"/>
  <c r="K103" i="21"/>
  <c r="K105" i="21"/>
  <c r="K107" i="21"/>
  <c r="K109" i="21"/>
  <c r="K10" i="21"/>
  <c r="B14" i="21"/>
  <c r="K189" i="20"/>
  <c r="BC189" i="20" s="1"/>
  <c r="K190" i="20"/>
  <c r="BC190" i="20" s="1"/>
  <c r="K191" i="20"/>
  <c r="BC191" i="20" s="1"/>
  <c r="K192" i="20"/>
  <c r="BC192" i="20" s="1"/>
  <c r="K194" i="20"/>
  <c r="BC194" i="20" s="1"/>
  <c r="K117" i="20"/>
  <c r="BC117" i="20" s="1"/>
  <c r="K118" i="20"/>
  <c r="BC118" i="20" s="1"/>
  <c r="K119" i="20"/>
  <c r="BC119" i="20" s="1"/>
  <c r="K120" i="20"/>
  <c r="BC120" i="20" s="1"/>
  <c r="K121" i="20"/>
  <c r="BC121" i="20" s="1"/>
  <c r="K122" i="20"/>
  <c r="BC122" i="20" s="1"/>
  <c r="K123" i="20"/>
  <c r="BC123" i="20" s="1"/>
  <c r="K124" i="20"/>
  <c r="BC124" i="20" s="1"/>
  <c r="K125" i="20"/>
  <c r="BC125" i="20" s="1"/>
  <c r="K126" i="20"/>
  <c r="BC126" i="20" s="1"/>
  <c r="K127" i="20"/>
  <c r="BC127" i="20" s="1"/>
  <c r="K128" i="20"/>
  <c r="BC128" i="20" s="1"/>
  <c r="K129" i="20"/>
  <c r="BC129" i="20" s="1"/>
  <c r="K130" i="20"/>
  <c r="BC130" i="20" s="1"/>
  <c r="K131" i="20"/>
  <c r="BC131" i="20" s="1"/>
  <c r="K132" i="20"/>
  <c r="BC132" i="20" s="1"/>
  <c r="K133" i="20"/>
  <c r="BC133" i="20" s="1"/>
  <c r="K140" i="20"/>
  <c r="BC140" i="20" s="1"/>
  <c r="K141" i="20"/>
  <c r="BC141" i="20" s="1"/>
  <c r="K151" i="20"/>
  <c r="BC151" i="20" s="1"/>
  <c r="K152" i="20"/>
  <c r="BC152" i="20" s="1"/>
  <c r="K153" i="20"/>
  <c r="BC153" i="20" s="1"/>
  <c r="K154" i="20"/>
  <c r="BC154" i="20" s="1"/>
  <c r="K159" i="20"/>
  <c r="BC159" i="20" s="1"/>
  <c r="K160" i="20"/>
  <c r="BC160" i="20" s="1"/>
  <c r="K161" i="20"/>
  <c r="BC161" i="20" s="1"/>
  <c r="K162" i="20"/>
  <c r="BC162" i="20" s="1"/>
  <c r="K167" i="20"/>
  <c r="BC167" i="20" s="1"/>
  <c r="K168" i="20"/>
  <c r="BC168" i="20" s="1"/>
  <c r="K169" i="20"/>
  <c r="BC169" i="20" s="1"/>
  <c r="K170" i="20"/>
  <c r="BC170" i="20" s="1"/>
  <c r="K175" i="20"/>
  <c r="BC175" i="20" s="1"/>
  <c r="K176" i="20"/>
  <c r="BC176" i="20" s="1"/>
  <c r="K177" i="20"/>
  <c r="BC177" i="20" s="1"/>
  <c r="K178" i="20"/>
  <c r="BC178" i="20" s="1"/>
  <c r="K183" i="20"/>
  <c r="BC183" i="20" s="1"/>
  <c r="K184" i="20"/>
  <c r="BC184" i="20" s="1"/>
  <c r="K14" i="21"/>
  <c r="K16" i="21"/>
  <c r="K18" i="21"/>
  <c r="K20" i="21"/>
  <c r="K22" i="21"/>
  <c r="K24" i="21"/>
  <c r="K26" i="21"/>
  <c r="K28" i="21"/>
  <c r="K30" i="21"/>
  <c r="K32" i="21"/>
  <c r="K34" i="21"/>
  <c r="K36" i="21"/>
  <c r="K38" i="21"/>
  <c r="K40" i="21"/>
  <c r="K42" i="21"/>
  <c r="K44" i="21"/>
  <c r="K46" i="21"/>
  <c r="K48" i="21"/>
  <c r="K50" i="21"/>
  <c r="K52" i="21"/>
  <c r="K54" i="21"/>
  <c r="K56" i="21"/>
  <c r="K58" i="21"/>
  <c r="K60" i="21"/>
  <c r="K62" i="21"/>
  <c r="K64" i="21"/>
  <c r="K66" i="21"/>
  <c r="K68" i="21"/>
  <c r="K70" i="21"/>
  <c r="K72" i="21"/>
  <c r="K74" i="21"/>
  <c r="K76" i="21"/>
  <c r="K78" i="21"/>
  <c r="K80" i="21"/>
  <c r="K82" i="21"/>
  <c r="K84" i="21"/>
  <c r="K86" i="21"/>
  <c r="K88" i="21"/>
  <c r="K90" i="21"/>
  <c r="K92" i="21"/>
  <c r="K94" i="21"/>
  <c r="K96" i="21"/>
  <c r="K98" i="21"/>
  <c r="K100" i="21"/>
  <c r="K102" i="21"/>
  <c r="K104" i="21"/>
  <c r="K106" i="21"/>
  <c r="K108" i="21"/>
  <c r="K12" i="21"/>
  <c r="K11" i="21"/>
  <c r="K185" i="20"/>
  <c r="BC185" i="20" s="1"/>
  <c r="K186" i="20"/>
  <c r="BC186" i="20" s="1"/>
  <c r="K187" i="20"/>
  <c r="BC187" i="20" s="1"/>
  <c r="K188" i="20"/>
  <c r="BC188" i="20" s="1"/>
  <c r="K193" i="20"/>
  <c r="BC193" i="20" s="1"/>
  <c r="K195" i="20"/>
  <c r="BC195" i="20" s="1"/>
  <c r="K196" i="20"/>
  <c r="BC196" i="20" s="1"/>
  <c r="K197" i="20"/>
  <c r="BC197" i="20" s="1"/>
  <c r="K198" i="20"/>
  <c r="BC198" i="20" s="1"/>
  <c r="K199" i="20"/>
  <c r="BC199" i="20" s="1"/>
  <c r="K200" i="20"/>
  <c r="BC200" i="20" s="1"/>
  <c r="K201" i="20"/>
  <c r="BC201" i="20" s="1"/>
  <c r="K202" i="20"/>
  <c r="BC202" i="20" s="1"/>
  <c r="K203" i="20"/>
  <c r="BC203" i="20" s="1"/>
  <c r="K204" i="20"/>
  <c r="BC204" i="20" s="1"/>
  <c r="K205" i="20"/>
  <c r="BC205" i="20" s="1"/>
  <c r="K206" i="20"/>
  <c r="BC206" i="20" s="1"/>
  <c r="K207" i="20"/>
  <c r="BC207" i="20" s="1"/>
  <c r="K208" i="20"/>
  <c r="BC208" i="20" s="1"/>
  <c r="K209" i="20"/>
  <c r="BC209" i="20" s="1"/>
  <c r="K110" i="20"/>
  <c r="BC110" i="20" s="1"/>
  <c r="K111" i="20"/>
  <c r="BC111" i="20" s="1"/>
  <c r="K112" i="20"/>
  <c r="BC112" i="20" s="1"/>
  <c r="K113" i="20"/>
  <c r="BC113" i="20" s="1"/>
  <c r="K114" i="20"/>
  <c r="BC114" i="20" s="1"/>
  <c r="K115" i="20"/>
  <c r="BC115" i="20" s="1"/>
  <c r="K116" i="20"/>
  <c r="BC116" i="20" s="1"/>
  <c r="K134" i="20"/>
  <c r="BC134" i="20" s="1"/>
  <c r="K135" i="20"/>
  <c r="BC135" i="20" s="1"/>
  <c r="K136" i="20"/>
  <c r="BC136" i="20" s="1"/>
  <c r="K137" i="20"/>
  <c r="BC137" i="20" s="1"/>
  <c r="K138" i="20"/>
  <c r="BC138" i="20" s="1"/>
  <c r="K139" i="20"/>
  <c r="BC139" i="20" s="1"/>
  <c r="K142" i="20"/>
  <c r="BC142" i="20" s="1"/>
  <c r="K143" i="20"/>
  <c r="BC143" i="20" s="1"/>
  <c r="K144" i="20"/>
  <c r="BC144" i="20" s="1"/>
  <c r="K145" i="20"/>
  <c r="BC145" i="20" s="1"/>
  <c r="K146" i="20"/>
  <c r="BC146" i="20" s="1"/>
  <c r="K147" i="20"/>
  <c r="BC147" i="20" s="1"/>
  <c r="K148" i="20"/>
  <c r="BC148" i="20" s="1"/>
  <c r="K149" i="20"/>
  <c r="BC149" i="20" s="1"/>
  <c r="K150" i="20"/>
  <c r="BC150" i="20" s="1"/>
  <c r="K155" i="20"/>
  <c r="BC155" i="20" s="1"/>
  <c r="K156" i="20"/>
  <c r="BC156" i="20" s="1"/>
  <c r="K157" i="20"/>
  <c r="BC157" i="20" s="1"/>
  <c r="K158" i="20"/>
  <c r="BC158" i="20" s="1"/>
  <c r="K163" i="20"/>
  <c r="BC163" i="20" s="1"/>
  <c r="K164" i="20"/>
  <c r="BC164" i="20" s="1"/>
  <c r="K165" i="20"/>
  <c r="BC165" i="20" s="1"/>
  <c r="K166" i="20"/>
  <c r="BC166" i="20" s="1"/>
  <c r="K171" i="20"/>
  <c r="BC171" i="20" s="1"/>
  <c r="K172" i="20"/>
  <c r="BC172" i="20" s="1"/>
  <c r="K173" i="20"/>
  <c r="BC173" i="20" s="1"/>
  <c r="K174" i="20"/>
  <c r="BC174" i="20" s="1"/>
  <c r="K179" i="20"/>
  <c r="BC179" i="20" s="1"/>
  <c r="K180" i="20"/>
  <c r="BC180" i="20" s="1"/>
  <c r="K181" i="20"/>
  <c r="BC181" i="20" s="1"/>
  <c r="K182" i="20"/>
  <c r="BC182" i="20" s="1"/>
  <c r="B22" i="20"/>
  <c r="B22" i="21"/>
  <c r="H10" i="20"/>
  <c r="AX10" i="20" s="1"/>
  <c r="H14" i="20"/>
  <c r="AX14" i="20" s="1"/>
  <c r="H18" i="20"/>
  <c r="AX18" i="20" s="1"/>
  <c r="H22" i="20"/>
  <c r="AX22" i="20" s="1"/>
  <c r="H26" i="20"/>
  <c r="AX26" i="20" s="1"/>
  <c r="H30" i="20"/>
  <c r="AX30" i="20" s="1"/>
  <c r="H34" i="20"/>
  <c r="AX34" i="20" s="1"/>
  <c r="H38" i="20"/>
  <c r="AX38" i="20" s="1"/>
  <c r="H42" i="20"/>
  <c r="AX42" i="20" s="1"/>
  <c r="H46" i="20"/>
  <c r="AX46" i="20" s="1"/>
  <c r="H50" i="20"/>
  <c r="AX50" i="20" s="1"/>
  <c r="H54" i="20"/>
  <c r="AX54" i="20" s="1"/>
  <c r="H58" i="20"/>
  <c r="AX58" i="20" s="1"/>
  <c r="H62" i="20"/>
  <c r="AX62" i="20" s="1"/>
  <c r="H66" i="20"/>
  <c r="AX66" i="20" s="1"/>
  <c r="H70" i="20"/>
  <c r="AX70" i="20" s="1"/>
  <c r="H74" i="20"/>
  <c r="AX74" i="20" s="1"/>
  <c r="H78" i="20"/>
  <c r="AX78" i="20" s="1"/>
  <c r="H82" i="20"/>
  <c r="AX82" i="20" s="1"/>
  <c r="H86" i="20"/>
  <c r="AX86" i="20" s="1"/>
  <c r="H90" i="20"/>
  <c r="AX90" i="20" s="1"/>
  <c r="H94" i="20"/>
  <c r="AX94" i="20" s="1"/>
  <c r="H98" i="20"/>
  <c r="AX98" i="20" s="1"/>
  <c r="H102" i="20"/>
  <c r="AX102" i="20" s="1"/>
  <c r="H106" i="20"/>
  <c r="AX106" i="20" s="1"/>
  <c r="H110" i="20"/>
  <c r="AX110" i="20" s="1"/>
  <c r="H114" i="20"/>
  <c r="AX114" i="20" s="1"/>
  <c r="H118" i="20"/>
  <c r="AX118" i="20" s="1"/>
  <c r="H122" i="20"/>
  <c r="AX122" i="20" s="1"/>
  <c r="H126" i="20"/>
  <c r="AX126" i="20" s="1"/>
  <c r="H130" i="20"/>
  <c r="AX130" i="20" s="1"/>
  <c r="H134" i="20"/>
  <c r="AX134" i="20" s="1"/>
  <c r="H138" i="20"/>
  <c r="AX138" i="20" s="1"/>
  <c r="H142" i="20"/>
  <c r="AX142" i="20" s="1"/>
  <c r="H146" i="20"/>
  <c r="AX146" i="20" s="1"/>
  <c r="H150" i="20"/>
  <c r="AX150" i="20" s="1"/>
  <c r="H154" i="20"/>
  <c r="AX154" i="20" s="1"/>
  <c r="H158" i="20"/>
  <c r="AX158" i="20" s="1"/>
  <c r="H162" i="20"/>
  <c r="AX162" i="20" s="1"/>
  <c r="H166" i="20"/>
  <c r="AX166" i="20" s="1"/>
  <c r="H170" i="20"/>
  <c r="AX170" i="20" s="1"/>
  <c r="H174" i="20"/>
  <c r="AX174" i="20" s="1"/>
  <c r="H178" i="20"/>
  <c r="AX178" i="20" s="1"/>
  <c r="H13" i="20"/>
  <c r="AX13" i="20" s="1"/>
  <c r="H17" i="20"/>
  <c r="AX17" i="20" s="1"/>
  <c r="H21" i="20"/>
  <c r="AX21" i="20" s="1"/>
  <c r="H25" i="20"/>
  <c r="AX25" i="20" s="1"/>
  <c r="H29" i="20"/>
  <c r="AX29" i="20" s="1"/>
  <c r="H33" i="20"/>
  <c r="AX33" i="20" s="1"/>
  <c r="H37" i="20"/>
  <c r="AX37" i="20" s="1"/>
  <c r="H41" i="20"/>
  <c r="AX41" i="20" s="1"/>
  <c r="H45" i="20"/>
  <c r="AX45" i="20" s="1"/>
  <c r="H49" i="20"/>
  <c r="AX49" i="20" s="1"/>
  <c r="H53" i="20"/>
  <c r="AX53" i="20" s="1"/>
  <c r="H57" i="20"/>
  <c r="AX57" i="20" s="1"/>
  <c r="H61" i="20"/>
  <c r="AX61" i="20" s="1"/>
  <c r="H65" i="20"/>
  <c r="AX65" i="20" s="1"/>
  <c r="H69" i="20"/>
  <c r="AX69" i="20" s="1"/>
  <c r="H73" i="20"/>
  <c r="AX73" i="20" s="1"/>
  <c r="H77" i="20"/>
  <c r="AX77" i="20" s="1"/>
  <c r="H81" i="20"/>
  <c r="AX81" i="20" s="1"/>
  <c r="H85" i="20"/>
  <c r="AX85" i="20" s="1"/>
  <c r="H89" i="20"/>
  <c r="AX89" i="20" s="1"/>
  <c r="H93" i="20"/>
  <c r="AX93" i="20" s="1"/>
  <c r="H97" i="20"/>
  <c r="AX97" i="20" s="1"/>
  <c r="H101" i="20"/>
  <c r="AX101" i="20" s="1"/>
  <c r="H105" i="20"/>
  <c r="AX105" i="20" s="1"/>
  <c r="H109" i="20"/>
  <c r="AX109" i="20" s="1"/>
  <c r="H113" i="20"/>
  <c r="AX113" i="20" s="1"/>
  <c r="H117" i="20"/>
  <c r="AX117" i="20" s="1"/>
  <c r="H121" i="20"/>
  <c r="AX121" i="20" s="1"/>
  <c r="H125" i="20"/>
  <c r="AX125" i="20" s="1"/>
  <c r="H129" i="20"/>
  <c r="AX129" i="20" s="1"/>
  <c r="H133" i="20"/>
  <c r="AX133" i="20" s="1"/>
  <c r="H137" i="20"/>
  <c r="AX137" i="20" s="1"/>
  <c r="H141" i="20"/>
  <c r="AX141" i="20" s="1"/>
  <c r="H145" i="20"/>
  <c r="AX145" i="20" s="1"/>
  <c r="H149" i="20"/>
  <c r="AX149" i="20" s="1"/>
  <c r="H153" i="20"/>
  <c r="AX153" i="20" s="1"/>
  <c r="H157" i="20"/>
  <c r="AX157" i="20" s="1"/>
  <c r="H163" i="20"/>
  <c r="AX163" i="20" s="1"/>
  <c r="H171" i="20"/>
  <c r="AX171" i="20" s="1"/>
  <c r="H179" i="20"/>
  <c r="AX179" i="20" s="1"/>
  <c r="H183" i="20"/>
  <c r="AX183" i="20" s="1"/>
  <c r="H187" i="20"/>
  <c r="AX187" i="20" s="1"/>
  <c r="H12" i="20"/>
  <c r="AX12" i="20" s="1"/>
  <c r="H16" i="20"/>
  <c r="AX16" i="20" s="1"/>
  <c r="H20" i="20"/>
  <c r="AX20" i="20" s="1"/>
  <c r="H24" i="20"/>
  <c r="AX24" i="20" s="1"/>
  <c r="H28" i="20"/>
  <c r="AX28" i="20" s="1"/>
  <c r="H32" i="20"/>
  <c r="AX32" i="20" s="1"/>
  <c r="H36" i="20"/>
  <c r="AX36" i="20" s="1"/>
  <c r="H40" i="20"/>
  <c r="AX40" i="20" s="1"/>
  <c r="H44" i="20"/>
  <c r="AX44" i="20" s="1"/>
  <c r="H48" i="20"/>
  <c r="AX48" i="20" s="1"/>
  <c r="H52" i="20"/>
  <c r="AX52" i="20" s="1"/>
  <c r="H56" i="20"/>
  <c r="AX56" i="20" s="1"/>
  <c r="H60" i="20"/>
  <c r="AX60" i="20" s="1"/>
  <c r="H64" i="20"/>
  <c r="AX64" i="20" s="1"/>
  <c r="H68" i="20"/>
  <c r="AX68" i="20" s="1"/>
  <c r="H72" i="20"/>
  <c r="AX72" i="20" s="1"/>
  <c r="H76" i="20"/>
  <c r="AX76" i="20" s="1"/>
  <c r="H80" i="20"/>
  <c r="AX80" i="20" s="1"/>
  <c r="H84" i="20"/>
  <c r="AX84" i="20" s="1"/>
  <c r="H88" i="20"/>
  <c r="AX88" i="20" s="1"/>
  <c r="H92" i="20"/>
  <c r="AX92" i="20" s="1"/>
  <c r="H96" i="20"/>
  <c r="AX96" i="20" s="1"/>
  <c r="H100" i="20"/>
  <c r="AX100" i="20" s="1"/>
  <c r="H104" i="20"/>
  <c r="AX104" i="20" s="1"/>
  <c r="H108" i="20"/>
  <c r="AX108" i="20" s="1"/>
  <c r="H112" i="20"/>
  <c r="AX112" i="20" s="1"/>
  <c r="H116" i="20"/>
  <c r="AX116" i="20" s="1"/>
  <c r="H120" i="20"/>
  <c r="AX120" i="20" s="1"/>
  <c r="H124" i="20"/>
  <c r="AX124" i="20" s="1"/>
  <c r="H128" i="20"/>
  <c r="AX128" i="20" s="1"/>
  <c r="H132" i="20"/>
  <c r="AX132" i="20" s="1"/>
  <c r="H136" i="20"/>
  <c r="AX136" i="20" s="1"/>
  <c r="H140" i="20"/>
  <c r="AX140" i="20" s="1"/>
  <c r="H144" i="20"/>
  <c r="AX144" i="20" s="1"/>
  <c r="H148" i="20"/>
  <c r="AX148" i="20" s="1"/>
  <c r="H152" i="20"/>
  <c r="AX152" i="20" s="1"/>
  <c r="H156" i="20"/>
  <c r="AX156" i="20" s="1"/>
  <c r="H160" i="20"/>
  <c r="AX160" i="20" s="1"/>
  <c r="H164" i="20"/>
  <c r="AX164" i="20" s="1"/>
  <c r="H168" i="20"/>
  <c r="AX168" i="20" s="1"/>
  <c r="H172" i="20"/>
  <c r="AX172" i="20" s="1"/>
  <c r="H176" i="20"/>
  <c r="AX176" i="20" s="1"/>
  <c r="H11" i="20"/>
  <c r="AX11" i="20" s="1"/>
  <c r="H15" i="20"/>
  <c r="AX15" i="20" s="1"/>
  <c r="H19" i="20"/>
  <c r="AX19" i="20" s="1"/>
  <c r="H23" i="20"/>
  <c r="AX23" i="20" s="1"/>
  <c r="H27" i="20"/>
  <c r="AX27" i="20" s="1"/>
  <c r="H31" i="20"/>
  <c r="AX31" i="20" s="1"/>
  <c r="H35" i="20"/>
  <c r="AX35" i="20" s="1"/>
  <c r="H39" i="20"/>
  <c r="AX39" i="20" s="1"/>
  <c r="H43" i="20"/>
  <c r="AX43" i="20" s="1"/>
  <c r="H47" i="20"/>
  <c r="AX47" i="20" s="1"/>
  <c r="H51" i="20"/>
  <c r="AX51" i="20" s="1"/>
  <c r="H55" i="20"/>
  <c r="AX55" i="20" s="1"/>
  <c r="H59" i="20"/>
  <c r="AX59" i="20" s="1"/>
  <c r="H63" i="20"/>
  <c r="AX63" i="20" s="1"/>
  <c r="H67" i="20"/>
  <c r="AX67" i="20" s="1"/>
  <c r="H71" i="20"/>
  <c r="AX71" i="20" s="1"/>
  <c r="H75" i="20"/>
  <c r="AX75" i="20" s="1"/>
  <c r="H79" i="20"/>
  <c r="AX79" i="20" s="1"/>
  <c r="H83" i="20"/>
  <c r="AX83" i="20" s="1"/>
  <c r="H87" i="20"/>
  <c r="AX87" i="20" s="1"/>
  <c r="H91" i="20"/>
  <c r="AX91" i="20" s="1"/>
  <c r="H95" i="20"/>
  <c r="AX95" i="20" s="1"/>
  <c r="H99" i="20"/>
  <c r="AX99" i="20" s="1"/>
  <c r="H103" i="20"/>
  <c r="AX103" i="20" s="1"/>
  <c r="H107" i="20"/>
  <c r="AX107" i="20" s="1"/>
  <c r="H111" i="20"/>
  <c r="AX111" i="20" s="1"/>
  <c r="H115" i="20"/>
  <c r="AX115" i="20" s="1"/>
  <c r="H119" i="20"/>
  <c r="AX119" i="20" s="1"/>
  <c r="H123" i="20"/>
  <c r="AX123" i="20" s="1"/>
  <c r="H127" i="20"/>
  <c r="AX127" i="20" s="1"/>
  <c r="H131" i="20"/>
  <c r="AX131" i="20" s="1"/>
  <c r="H135" i="20"/>
  <c r="AX135" i="20" s="1"/>
  <c r="H139" i="20"/>
  <c r="AX139" i="20" s="1"/>
  <c r="H143" i="20"/>
  <c r="AX143" i="20" s="1"/>
  <c r="H147" i="20"/>
  <c r="AX147" i="20" s="1"/>
  <c r="H151" i="20"/>
  <c r="AX151" i="20" s="1"/>
  <c r="H155" i="20"/>
  <c r="AX155" i="20" s="1"/>
  <c r="H159" i="20"/>
  <c r="AX159" i="20" s="1"/>
  <c r="H167" i="20"/>
  <c r="AX167" i="20" s="1"/>
  <c r="H175" i="20"/>
  <c r="AX175" i="20" s="1"/>
  <c r="H181" i="20"/>
  <c r="AX181" i="20" s="1"/>
  <c r="H185" i="20"/>
  <c r="AX185" i="20" s="1"/>
  <c r="H189" i="20"/>
  <c r="AX189" i="20" s="1"/>
  <c r="H193" i="20"/>
  <c r="AX193" i="20" s="1"/>
  <c r="H197" i="20"/>
  <c r="AX197" i="20" s="1"/>
  <c r="H201" i="20"/>
  <c r="AX201" i="20" s="1"/>
  <c r="H205" i="20"/>
  <c r="AX205" i="20" s="1"/>
  <c r="H209" i="20"/>
  <c r="AX209" i="20" s="1"/>
  <c r="H165" i="20"/>
  <c r="AX165" i="20" s="1"/>
  <c r="H173" i="20"/>
  <c r="AX173" i="20" s="1"/>
  <c r="H180" i="20"/>
  <c r="AX180" i="20" s="1"/>
  <c r="H184" i="20"/>
  <c r="AX184" i="20" s="1"/>
  <c r="H188" i="20"/>
  <c r="AX188" i="20" s="1"/>
  <c r="H192" i="20"/>
  <c r="AX192" i="20" s="1"/>
  <c r="H196" i="20"/>
  <c r="AX196" i="20" s="1"/>
  <c r="H200" i="20"/>
  <c r="AX200" i="20" s="1"/>
  <c r="H204" i="20"/>
  <c r="AX204" i="20" s="1"/>
  <c r="H208" i="20"/>
  <c r="AX208" i="20" s="1"/>
  <c r="H191" i="20"/>
  <c r="AX191" i="20" s="1"/>
  <c r="H195" i="20"/>
  <c r="AX195" i="20" s="1"/>
  <c r="H199" i="20"/>
  <c r="AX199" i="20" s="1"/>
  <c r="H203" i="20"/>
  <c r="AX203" i="20" s="1"/>
  <c r="H207" i="20"/>
  <c r="AX207" i="20" s="1"/>
  <c r="H161" i="20"/>
  <c r="AX161" i="20" s="1"/>
  <c r="H169" i="20"/>
  <c r="AX169" i="20" s="1"/>
  <c r="H177" i="20"/>
  <c r="AX177" i="20" s="1"/>
  <c r="H182" i="20"/>
  <c r="AX182" i="20" s="1"/>
  <c r="H186" i="20"/>
  <c r="AX186" i="20" s="1"/>
  <c r="H190" i="20"/>
  <c r="AX190" i="20" s="1"/>
  <c r="H194" i="20"/>
  <c r="AX194" i="20" s="1"/>
  <c r="H198" i="20"/>
  <c r="AX198" i="20" s="1"/>
  <c r="H202" i="20"/>
  <c r="AX202" i="20" s="1"/>
  <c r="H206" i="20"/>
  <c r="AX206" i="20" s="1"/>
  <c r="H9" i="20"/>
  <c r="AX9" i="20" s="1"/>
  <c r="B43" i="20"/>
  <c r="B41" i="20"/>
  <c r="B77" i="20"/>
  <c r="B39" i="20"/>
  <c r="AZ106" i="20"/>
  <c r="AZ104" i="20"/>
  <c r="AZ101" i="20"/>
  <c r="AZ92" i="20"/>
  <c r="AZ93" i="20"/>
  <c r="AZ85" i="20"/>
  <c r="AZ86" i="20"/>
  <c r="AZ77" i="20"/>
  <c r="AZ70" i="20"/>
  <c r="AZ65" i="20"/>
  <c r="AZ73" i="20"/>
  <c r="AZ62" i="20"/>
  <c r="AZ57" i="20"/>
  <c r="AZ56" i="20"/>
  <c r="AZ52" i="20"/>
  <c r="AZ48" i="20"/>
  <c r="AZ28" i="20"/>
  <c r="AZ17" i="20"/>
  <c r="AZ44" i="20"/>
  <c r="AZ40" i="20"/>
  <c r="AZ36" i="20"/>
  <c r="AZ29" i="20"/>
  <c r="AZ22" i="20"/>
  <c r="AZ16" i="20"/>
  <c r="AZ15" i="20"/>
  <c r="AZ11" i="20"/>
  <c r="AZ108" i="20"/>
  <c r="AZ105" i="20"/>
  <c r="AZ103" i="20"/>
  <c r="AZ99" i="20"/>
  <c r="AZ87" i="20"/>
  <c r="AZ84" i="20"/>
  <c r="AZ69" i="20"/>
  <c r="AZ72" i="20"/>
  <c r="AZ58" i="20"/>
  <c r="AZ53" i="20"/>
  <c r="AZ31" i="20"/>
  <c r="AZ41" i="20"/>
  <c r="AZ30" i="20"/>
  <c r="AZ12" i="20"/>
  <c r="AZ91" i="20"/>
  <c r="AZ78" i="20"/>
  <c r="AZ67" i="20"/>
  <c r="AZ60" i="20"/>
  <c r="AZ55" i="20"/>
  <c r="AZ35" i="20"/>
  <c r="AZ47" i="20"/>
  <c r="AZ39" i="20"/>
  <c r="AZ25" i="20"/>
  <c r="AZ14" i="20"/>
  <c r="AZ10" i="20"/>
  <c r="AZ107" i="20"/>
  <c r="AZ100" i="20"/>
  <c r="AZ96" i="20"/>
  <c r="AZ97" i="20"/>
  <c r="AZ89" i="20"/>
  <c r="AZ90" i="20"/>
  <c r="AZ81" i="20"/>
  <c r="AZ75" i="20"/>
  <c r="AZ68" i="20"/>
  <c r="AZ80" i="20"/>
  <c r="AZ71" i="20"/>
  <c r="AZ59" i="20"/>
  <c r="AZ63" i="20"/>
  <c r="AZ54" i="20"/>
  <c r="AZ50" i="20"/>
  <c r="AZ34" i="20"/>
  <c r="AZ26" i="20"/>
  <c r="AZ46" i="20"/>
  <c r="AZ42" i="20"/>
  <c r="AZ38" i="20"/>
  <c r="AZ32" i="20"/>
  <c r="AZ24" i="20"/>
  <c r="AZ18" i="20"/>
  <c r="AZ19" i="20"/>
  <c r="AZ13" i="20"/>
  <c r="AZ9" i="20"/>
  <c r="AZ109" i="20"/>
  <c r="AZ102" i="20"/>
  <c r="AZ94" i="20"/>
  <c r="AZ95" i="20"/>
  <c r="AZ83" i="20"/>
  <c r="AZ76" i="20"/>
  <c r="AZ82" i="20"/>
  <c r="AZ64" i="20"/>
  <c r="AZ61" i="20"/>
  <c r="AZ49" i="20"/>
  <c r="AZ43" i="20"/>
  <c r="AZ37" i="20"/>
  <c r="AZ23" i="20"/>
  <c r="AZ98" i="20"/>
  <c r="AZ88" i="20"/>
  <c r="AZ74" i="20"/>
  <c r="AZ79" i="20"/>
  <c r="AZ66" i="20"/>
  <c r="AZ51" i="20"/>
  <c r="AZ27" i="20"/>
  <c r="AZ45" i="20"/>
  <c r="AZ33" i="20"/>
  <c r="AZ20" i="20"/>
  <c r="AZ21" i="20"/>
  <c r="B19" i="20"/>
  <c r="B12" i="20"/>
  <c r="B43" i="2"/>
  <c r="B37" i="20"/>
  <c r="B42" i="20"/>
  <c r="K26" i="20"/>
  <c r="BC26" i="20" s="1"/>
  <c r="K10" i="20"/>
  <c r="BC10" i="20" s="1"/>
  <c r="K12" i="20"/>
  <c r="BC12" i="20" s="1"/>
  <c r="K14" i="20"/>
  <c r="BC14" i="20" s="1"/>
  <c r="K16" i="20"/>
  <c r="BC16" i="20" s="1"/>
  <c r="K18" i="20"/>
  <c r="BC18" i="20" s="1"/>
  <c r="K20" i="20"/>
  <c r="BC20" i="20" s="1"/>
  <c r="K25" i="20"/>
  <c r="BC25" i="20" s="1"/>
  <c r="K28" i="20"/>
  <c r="BC28" i="20" s="1"/>
  <c r="K30" i="20"/>
  <c r="BC30" i="20" s="1"/>
  <c r="K32" i="20"/>
  <c r="BC32" i="20" s="1"/>
  <c r="K34" i="20"/>
  <c r="BC34" i="20" s="1"/>
  <c r="K36" i="20"/>
  <c r="BC36" i="20" s="1"/>
  <c r="K38" i="20"/>
  <c r="BC38" i="20" s="1"/>
  <c r="K40" i="20"/>
  <c r="BC40" i="20" s="1"/>
  <c r="K42" i="20"/>
  <c r="BC42" i="20" s="1"/>
  <c r="K44" i="20"/>
  <c r="BC44" i="20" s="1"/>
  <c r="K46" i="20"/>
  <c r="BC46" i="20" s="1"/>
  <c r="K48" i="20"/>
  <c r="BC48" i="20" s="1"/>
  <c r="K50" i="20"/>
  <c r="BC50" i="20" s="1"/>
  <c r="K52" i="20"/>
  <c r="BC52" i="20" s="1"/>
  <c r="K54" i="20"/>
  <c r="BC54" i="20" s="1"/>
  <c r="K56" i="20"/>
  <c r="BC56" i="20" s="1"/>
  <c r="K58" i="20"/>
  <c r="BC58" i="20" s="1"/>
  <c r="K60" i="20"/>
  <c r="BC60" i="20" s="1"/>
  <c r="K62" i="20"/>
  <c r="BC62" i="20" s="1"/>
  <c r="K64" i="20"/>
  <c r="BC64" i="20" s="1"/>
  <c r="K66" i="20"/>
  <c r="BC66" i="20" s="1"/>
  <c r="K68" i="20"/>
  <c r="BC68" i="20" s="1"/>
  <c r="K70" i="20"/>
  <c r="BC70" i="20" s="1"/>
  <c r="K72" i="20"/>
  <c r="BC72" i="20" s="1"/>
  <c r="K74" i="20"/>
  <c r="BC74" i="20" s="1"/>
  <c r="K76" i="20"/>
  <c r="BC76" i="20" s="1"/>
  <c r="K78" i="20"/>
  <c r="BC78" i="20" s="1"/>
  <c r="K80" i="20"/>
  <c r="BC80" i="20" s="1"/>
  <c r="K82" i="20"/>
  <c r="BC82" i="20" s="1"/>
  <c r="K84" i="20"/>
  <c r="BC84" i="20" s="1"/>
  <c r="K86" i="20"/>
  <c r="BC86" i="20" s="1"/>
  <c r="K88" i="20"/>
  <c r="BC88" i="20" s="1"/>
  <c r="K90" i="20"/>
  <c r="BC90" i="20" s="1"/>
  <c r="K92" i="20"/>
  <c r="BC92" i="20" s="1"/>
  <c r="K94" i="20"/>
  <c r="BC94" i="20" s="1"/>
  <c r="K96" i="20"/>
  <c r="BC96" i="20" s="1"/>
  <c r="K98" i="20"/>
  <c r="BC98" i="20" s="1"/>
  <c r="K100" i="20"/>
  <c r="BC100" i="20" s="1"/>
  <c r="K102" i="20"/>
  <c r="BC102" i="20" s="1"/>
  <c r="K104" i="20"/>
  <c r="BC104" i="20" s="1"/>
  <c r="K106" i="20"/>
  <c r="BC106" i="20" s="1"/>
  <c r="K108" i="20"/>
  <c r="BC108" i="20" s="1"/>
  <c r="K9" i="20"/>
  <c r="BC9" i="20" s="1"/>
  <c r="B14" i="20"/>
  <c r="K11" i="20"/>
  <c r="BC11" i="20" s="1"/>
  <c r="K13" i="20"/>
  <c r="BC13" i="20" s="1"/>
  <c r="K15" i="20"/>
  <c r="BC15" i="20" s="1"/>
  <c r="K17" i="20"/>
  <c r="BC17" i="20" s="1"/>
  <c r="K19" i="20"/>
  <c r="BC19" i="20" s="1"/>
  <c r="K24" i="20"/>
  <c r="BC24" i="20" s="1"/>
  <c r="K27" i="20"/>
  <c r="BC27" i="20" s="1"/>
  <c r="K29" i="20"/>
  <c r="BC29" i="20" s="1"/>
  <c r="K31" i="20"/>
  <c r="BC31" i="20" s="1"/>
  <c r="K33" i="20"/>
  <c r="BC33" i="20" s="1"/>
  <c r="K35" i="20"/>
  <c r="BC35" i="20" s="1"/>
  <c r="K37" i="20"/>
  <c r="BC37" i="20" s="1"/>
  <c r="K39" i="20"/>
  <c r="BC39" i="20" s="1"/>
  <c r="K41" i="20"/>
  <c r="BC41" i="20" s="1"/>
  <c r="K43" i="20"/>
  <c r="BC43" i="20" s="1"/>
  <c r="K45" i="20"/>
  <c r="BC45" i="20" s="1"/>
  <c r="K47" i="20"/>
  <c r="BC47" i="20" s="1"/>
  <c r="K49" i="20"/>
  <c r="BC49" i="20" s="1"/>
  <c r="K51" i="20"/>
  <c r="BC51" i="20" s="1"/>
  <c r="K53" i="20"/>
  <c r="BC53" i="20" s="1"/>
  <c r="K55" i="20"/>
  <c r="BC55" i="20" s="1"/>
  <c r="K57" i="20"/>
  <c r="BC57" i="20" s="1"/>
  <c r="K59" i="20"/>
  <c r="BC59" i="20" s="1"/>
  <c r="K61" i="20"/>
  <c r="BC61" i="20" s="1"/>
  <c r="K63" i="20"/>
  <c r="BC63" i="20" s="1"/>
  <c r="K65" i="20"/>
  <c r="BC65" i="20" s="1"/>
  <c r="K67" i="20"/>
  <c r="BC67" i="20" s="1"/>
  <c r="K69" i="20"/>
  <c r="BC69" i="20" s="1"/>
  <c r="K71" i="20"/>
  <c r="BC71" i="20" s="1"/>
  <c r="K73" i="20"/>
  <c r="BC73" i="20" s="1"/>
  <c r="K75" i="20"/>
  <c r="BC75" i="20" s="1"/>
  <c r="K77" i="20"/>
  <c r="BC77" i="20" s="1"/>
  <c r="K79" i="20"/>
  <c r="BC79" i="20" s="1"/>
  <c r="K81" i="20"/>
  <c r="BC81" i="20" s="1"/>
  <c r="K83" i="20"/>
  <c r="BC83" i="20" s="1"/>
  <c r="K85" i="20"/>
  <c r="BC85" i="20" s="1"/>
  <c r="K87" i="20"/>
  <c r="BC87" i="20" s="1"/>
  <c r="K89" i="20"/>
  <c r="BC89" i="20" s="1"/>
  <c r="K91" i="20"/>
  <c r="BC91" i="20" s="1"/>
  <c r="K93" i="20"/>
  <c r="BC93" i="20" s="1"/>
  <c r="K95" i="20"/>
  <c r="BC95" i="20" s="1"/>
  <c r="K97" i="20"/>
  <c r="BC97" i="20" s="1"/>
  <c r="K99" i="20"/>
  <c r="BC99" i="20" s="1"/>
  <c r="K101" i="20"/>
  <c r="BC101" i="20" s="1"/>
  <c r="K103" i="20"/>
  <c r="BC103" i="20" s="1"/>
  <c r="K105" i="20"/>
  <c r="BC105" i="20" s="1"/>
  <c r="K107" i="20"/>
  <c r="BC107" i="20" s="1"/>
  <c r="K109" i="20"/>
  <c r="BC109" i="20" s="1"/>
  <c r="B58" i="20"/>
  <c r="B42" i="2"/>
  <c r="B40" i="2"/>
  <c r="B10" i="2" s="1"/>
  <c r="B81" i="2" s="1"/>
  <c r="D180" i="2"/>
  <c r="B41" i="2"/>
  <c r="D178" i="2"/>
  <c r="H178" i="2"/>
  <c r="D118" i="2"/>
  <c r="D117" i="2"/>
  <c r="D116" i="2"/>
  <c r="D179" i="2"/>
  <c r="D374" i="2"/>
  <c r="B413" i="2"/>
  <c r="B374" i="2"/>
  <c r="C415" i="2"/>
  <c r="B439" i="2"/>
  <c r="K311" i="2"/>
  <c r="A427" i="2"/>
  <c r="B427" i="2"/>
  <c r="D127" i="2"/>
  <c r="B245" i="2"/>
  <c r="B254" i="2"/>
  <c r="B256" i="2"/>
  <c r="B255" i="2"/>
  <c r="B259" i="2" s="1"/>
  <c r="E328" i="2"/>
  <c r="D129" i="2"/>
  <c r="D132" i="2"/>
  <c r="D134" i="2"/>
  <c r="B69" i="2"/>
  <c r="B333" i="2"/>
  <c r="N10" i="8" s="1"/>
  <c r="F3" i="8"/>
  <c r="F159" i="8" s="1"/>
  <c r="F158" i="8" s="1"/>
  <c r="F157" i="8" s="1"/>
  <c r="F156" i="8" s="1"/>
  <c r="F155" i="8" s="1"/>
  <c r="F154" i="8" s="1"/>
  <c r="F153" i="8" s="1"/>
  <c r="F152" i="8" s="1"/>
  <c r="F151" i="8" s="1"/>
  <c r="F150" i="8" s="1"/>
  <c r="F149" i="8" s="1"/>
  <c r="F148" i="8" s="1"/>
  <c r="F147" i="8" s="1"/>
  <c r="F146" i="8" s="1"/>
  <c r="F145" i="8" s="1"/>
  <c r="F144" i="8" s="1"/>
  <c r="F143" i="8" s="1"/>
  <c r="F142" i="8" s="1"/>
  <c r="F141" i="8" s="1"/>
  <c r="F140" i="8" s="1"/>
  <c r="F139" i="8" s="1"/>
  <c r="F138" i="8" s="1"/>
  <c r="F137" i="8" s="1"/>
  <c r="F136" i="8" s="1"/>
  <c r="F135" i="8" s="1"/>
  <c r="F134" i="8" s="1"/>
  <c r="F133" i="8" s="1"/>
  <c r="F132" i="8" s="1"/>
  <c r="F131" i="8" s="1"/>
  <c r="F130" i="8" s="1"/>
  <c r="F129" i="8" s="1"/>
  <c r="F128" i="8" s="1"/>
  <c r="F127" i="8" s="1"/>
  <c r="F126" i="8" s="1"/>
  <c r="F125" i="8" s="1"/>
  <c r="F124" i="8" s="1"/>
  <c r="F123" i="8" s="1"/>
  <c r="F122" i="8" s="1"/>
  <c r="F121" i="8" s="1"/>
  <c r="F120" i="8" s="1"/>
  <c r="F119" i="8" s="1"/>
  <c r="F118" i="8" s="1"/>
  <c r="F117" i="8" s="1"/>
  <c r="F116" i="8" s="1"/>
  <c r="F115" i="8" s="1"/>
  <c r="F114" i="8" s="1"/>
  <c r="F113" i="8" s="1"/>
  <c r="F112" i="8" s="1"/>
  <c r="F111" i="8" s="1"/>
  <c r="F110" i="8" s="1"/>
  <c r="F109" i="8" s="1"/>
  <c r="F108" i="8" s="1"/>
  <c r="F107" i="8" s="1"/>
  <c r="F106" i="8" s="1"/>
  <c r="F105" i="8" s="1"/>
  <c r="F104" i="8" s="1"/>
  <c r="F103" i="8" s="1"/>
  <c r="F102" i="8" s="1"/>
  <c r="F101" i="8" s="1"/>
  <c r="F100" i="8" s="1"/>
  <c r="F99" i="8" s="1"/>
  <c r="F98" i="8" s="1"/>
  <c r="F97" i="8" s="1"/>
  <c r="F96" i="8" s="1"/>
  <c r="F95" i="8" s="1"/>
  <c r="F94" i="8" s="1"/>
  <c r="F93" i="8" s="1"/>
  <c r="F92" i="8" s="1"/>
  <c r="F91" i="8" s="1"/>
  <c r="F90" i="8" s="1"/>
  <c r="F89" i="8" s="1"/>
  <c r="F88" i="8" s="1"/>
  <c r="F87" i="8" s="1"/>
  <c r="F86" i="8" s="1"/>
  <c r="F85" i="8" s="1"/>
  <c r="F84" i="8" s="1"/>
  <c r="F83" i="8" s="1"/>
  <c r="F82" i="8" s="1"/>
  <c r="F81" i="8" s="1"/>
  <c r="F80" i="8" s="1"/>
  <c r="F79" i="8" s="1"/>
  <c r="F78" i="8" s="1"/>
  <c r="F77" i="8" s="1"/>
  <c r="F76" i="8" s="1"/>
  <c r="F75" i="8" s="1"/>
  <c r="F74" i="8" s="1"/>
  <c r="F73" i="8" s="1"/>
  <c r="F72" i="8" s="1"/>
  <c r="F71" i="8" s="1"/>
  <c r="F70" i="8" s="1"/>
  <c r="F69" i="8" s="1"/>
  <c r="F68" i="8" s="1"/>
  <c r="F67" i="8" s="1"/>
  <c r="F66" i="8" s="1"/>
  <c r="F65" i="8" s="1"/>
  <c r="F64" i="8" s="1"/>
  <c r="F63" i="8" s="1"/>
  <c r="F62" i="8" s="1"/>
  <c r="F61" i="8" s="1"/>
  <c r="F60" i="8" s="1"/>
  <c r="F59" i="8" s="1"/>
  <c r="F58" i="8" s="1"/>
  <c r="F57" i="8" s="1"/>
  <c r="F56" i="8" s="1"/>
  <c r="F55" i="8" s="1"/>
  <c r="F54" i="8" s="1"/>
  <c r="F53" i="8" s="1"/>
  <c r="F52" i="8" s="1"/>
  <c r="F51" i="8" s="1"/>
  <c r="F50" i="8" s="1"/>
  <c r="F49" i="8" s="1"/>
  <c r="F48" i="8" s="1"/>
  <c r="F47" i="8" s="1"/>
  <c r="F46" i="8" s="1"/>
  <c r="F45" i="8" s="1"/>
  <c r="F44" i="8" s="1"/>
  <c r="F43" i="8" s="1"/>
  <c r="F42" i="8" s="1"/>
  <c r="F41" i="8" s="1"/>
  <c r="F40" i="8" s="1"/>
  <c r="F39" i="8" s="1"/>
  <c r="F38" i="8" s="1"/>
  <c r="F37" i="8" s="1"/>
  <c r="F36" i="8" s="1"/>
  <c r="F35" i="8" s="1"/>
  <c r="F34" i="8" s="1"/>
  <c r="F33" i="8" s="1"/>
  <c r="F32" i="8" s="1"/>
  <c r="F31" i="8" s="1"/>
  <c r="F30" i="8" s="1"/>
  <c r="F29" i="8" s="1"/>
  <c r="F28" i="8" s="1"/>
  <c r="F27" i="8" s="1"/>
  <c r="F26" i="8" s="1"/>
  <c r="F25" i="8" s="1"/>
  <c r="F24" i="8" s="1"/>
  <c r="F23" i="8" s="1"/>
  <c r="F22" i="8" s="1"/>
  <c r="F21" i="8" s="1"/>
  <c r="F20" i="8" s="1"/>
  <c r="F19" i="8" s="1"/>
  <c r="F18" i="8" s="1"/>
  <c r="F17" i="8" s="1"/>
  <c r="F16" i="8" s="1"/>
  <c r="F15" i="8" s="1"/>
  <c r="F14" i="8" s="1"/>
  <c r="F13" i="8" s="1"/>
  <c r="F12" i="8" s="1"/>
  <c r="F11" i="8" s="1"/>
  <c r="F10" i="8" s="1"/>
  <c r="F9" i="8" s="1"/>
  <c r="F8" i="8" s="1"/>
  <c r="F7" i="8" s="1"/>
  <c r="F6" i="8" s="1"/>
  <c r="F4" i="8" s="1"/>
  <c r="B15" i="2"/>
  <c r="B17" i="2" s="1"/>
  <c r="B293" i="2"/>
  <c r="B14" i="2"/>
  <c r="D160" i="2"/>
  <c r="E78" i="2"/>
  <c r="E79" i="2"/>
  <c r="D162" i="2"/>
  <c r="E80" i="2"/>
  <c r="B145" i="2"/>
  <c r="N149" i="2"/>
  <c r="D102" i="2"/>
  <c r="D149" i="2"/>
  <c r="C51" i="2"/>
  <c r="C72" i="2"/>
  <c r="C90" i="2"/>
  <c r="D60" i="2"/>
  <c r="M102" i="2"/>
  <c r="M104" i="2"/>
  <c r="C92" i="2"/>
  <c r="D62" i="2"/>
  <c r="M103" i="2"/>
  <c r="C52" i="2"/>
  <c r="D103" i="2"/>
  <c r="C74" i="2"/>
  <c r="C53" i="2"/>
  <c r="D151" i="2"/>
  <c r="N151" i="2"/>
  <c r="C73" i="2"/>
  <c r="N150" i="2"/>
  <c r="D61" i="2"/>
  <c r="C91" i="2"/>
  <c r="D104" i="2"/>
  <c r="B147" i="2"/>
  <c r="B146" i="2"/>
  <c r="B53" i="2"/>
  <c r="B58" i="2" s="1"/>
  <c r="B51" i="2"/>
  <c r="B56" i="2" s="1"/>
  <c r="B52" i="2"/>
  <c r="B57" i="2" s="1"/>
  <c r="C48" i="2"/>
  <c r="B48" i="2"/>
  <c r="B205" i="2"/>
  <c r="B3" i="8" s="1"/>
  <c r="B159" i="8" s="1"/>
  <c r="B158" i="8" s="1"/>
  <c r="B157" i="8" s="1"/>
  <c r="B156" i="8" s="1"/>
  <c r="B155" i="8" s="1"/>
  <c r="B154" i="8" s="1"/>
  <c r="B153" i="8" s="1"/>
  <c r="B152" i="8" s="1"/>
  <c r="B151" i="8" s="1"/>
  <c r="B150" i="8" s="1"/>
  <c r="B149" i="8" s="1"/>
  <c r="B148" i="8" s="1"/>
  <c r="B147" i="8" s="1"/>
  <c r="B146" i="8" s="1"/>
  <c r="B145" i="8" s="1"/>
  <c r="B144" i="8" s="1"/>
  <c r="B143" i="8" s="1"/>
  <c r="B142" i="8" s="1"/>
  <c r="B141" i="8" s="1"/>
  <c r="B140" i="8" s="1"/>
  <c r="B139" i="8" s="1"/>
  <c r="B138" i="8" s="1"/>
  <c r="B137" i="8" s="1"/>
  <c r="B136" i="8" s="1"/>
  <c r="B135" i="8" s="1"/>
  <c r="B134" i="8" s="1"/>
  <c r="B133" i="8" s="1"/>
  <c r="B132" i="8" s="1"/>
  <c r="B131" i="8" s="1"/>
  <c r="B130" i="8" s="1"/>
  <c r="B129" i="8" s="1"/>
  <c r="B128" i="8" s="1"/>
  <c r="B127" i="8" s="1"/>
  <c r="B126" i="8" s="1"/>
  <c r="B125" i="8" s="1"/>
  <c r="B124" i="8" s="1"/>
  <c r="B123" i="8" s="1"/>
  <c r="B122" i="8" s="1"/>
  <c r="B121" i="8" s="1"/>
  <c r="B120" i="8" s="1"/>
  <c r="B119" i="8" s="1"/>
  <c r="B118" i="8" s="1"/>
  <c r="B117" i="8" s="1"/>
  <c r="B116" i="8" s="1"/>
  <c r="B115" i="8" s="1"/>
  <c r="B114" i="8" s="1"/>
  <c r="B113" i="8" s="1"/>
  <c r="B112" i="8" s="1"/>
  <c r="B111" i="8" s="1"/>
  <c r="B110" i="8" s="1"/>
  <c r="B109" i="8" s="1"/>
  <c r="B108" i="8" s="1"/>
  <c r="B107" i="8" s="1"/>
  <c r="B106" i="8" s="1"/>
  <c r="B105" i="8" s="1"/>
  <c r="B104" i="8" s="1"/>
  <c r="B103" i="8" s="1"/>
  <c r="B102" i="8" s="1"/>
  <c r="B101" i="8" s="1"/>
  <c r="B100" i="8" s="1"/>
  <c r="B99" i="8" s="1"/>
  <c r="B98" i="8" s="1"/>
  <c r="B97" i="8" s="1"/>
  <c r="B96" i="8" s="1"/>
  <c r="B95" i="8" s="1"/>
  <c r="B94" i="8" s="1"/>
  <c r="B93" i="8" s="1"/>
  <c r="B92" i="8" s="1"/>
  <c r="B91" i="8" s="1"/>
  <c r="B90" i="8" s="1"/>
  <c r="B89" i="8" s="1"/>
  <c r="B88" i="8" s="1"/>
  <c r="B87" i="8" s="1"/>
  <c r="B86" i="8" s="1"/>
  <c r="B85" i="8" s="1"/>
  <c r="B84" i="8" s="1"/>
  <c r="B83" i="8" s="1"/>
  <c r="B82" i="8" s="1"/>
  <c r="B81" i="8" s="1"/>
  <c r="B80" i="8" s="1"/>
  <c r="B79" i="8" s="1"/>
  <c r="B78" i="8" s="1"/>
  <c r="B77" i="8" s="1"/>
  <c r="B76" i="8" s="1"/>
  <c r="B75" i="8" s="1"/>
  <c r="B74" i="8" s="1"/>
  <c r="B73" i="8" s="1"/>
  <c r="B72" i="8" s="1"/>
  <c r="B71" i="8" s="1"/>
  <c r="B70" i="8" s="1"/>
  <c r="B69" i="8" s="1"/>
  <c r="B68" i="8" s="1"/>
  <c r="B67" i="8" s="1"/>
  <c r="B66" i="8" s="1"/>
  <c r="B65" i="8" s="1"/>
  <c r="B64" i="8" s="1"/>
  <c r="B63" i="8" s="1"/>
  <c r="B62" i="8" s="1"/>
  <c r="B61" i="8" s="1"/>
  <c r="B60" i="8" s="1"/>
  <c r="B59" i="8" s="1"/>
  <c r="B58" i="8" s="1"/>
  <c r="B57" i="8" s="1"/>
  <c r="B56" i="8" s="1"/>
  <c r="B55" i="8" s="1"/>
  <c r="B54" i="8" s="1"/>
  <c r="B53" i="8" s="1"/>
  <c r="B52" i="8" s="1"/>
  <c r="B51" i="8" s="1"/>
  <c r="B50" i="8" s="1"/>
  <c r="B49" i="8" s="1"/>
  <c r="B48" i="8" s="1"/>
  <c r="B47" i="8" s="1"/>
  <c r="B46" i="8" s="1"/>
  <c r="B45" i="8" s="1"/>
  <c r="B44" i="8" s="1"/>
  <c r="B43" i="8" s="1"/>
  <c r="B42" i="8" s="1"/>
  <c r="B41" i="8" s="1"/>
  <c r="B40" i="8" s="1"/>
  <c r="B39" i="8" s="1"/>
  <c r="B38" i="8" s="1"/>
  <c r="B37" i="8" s="1"/>
  <c r="B36" i="8" s="1"/>
  <c r="B35" i="8" s="1"/>
  <c r="B34" i="8" s="1"/>
  <c r="B33" i="8" s="1"/>
  <c r="B32" i="8" s="1"/>
  <c r="B31" i="8" s="1"/>
  <c r="B30" i="8" s="1"/>
  <c r="B29" i="8" s="1"/>
  <c r="B28" i="8" s="1"/>
  <c r="B27" i="8" s="1"/>
  <c r="B26" i="8" s="1"/>
  <c r="B25" i="8" s="1"/>
  <c r="B24" i="8" s="1"/>
  <c r="B23" i="8" s="1"/>
  <c r="B22" i="8" s="1"/>
  <c r="B21" i="8" s="1"/>
  <c r="B20" i="8" s="1"/>
  <c r="B19" i="8" s="1"/>
  <c r="B18" i="8" s="1"/>
  <c r="B17" i="8" s="1"/>
  <c r="B16" i="8" s="1"/>
  <c r="B15" i="8" s="1"/>
  <c r="B14" i="8" s="1"/>
  <c r="B13" i="8" s="1"/>
  <c r="B12" i="8" s="1"/>
  <c r="B11" i="8" s="1"/>
  <c r="B10" i="8" s="1"/>
  <c r="B9" i="8" s="1"/>
  <c r="B8" i="8" s="1"/>
  <c r="B7" i="8" s="1"/>
  <c r="B6" i="8" s="1"/>
  <c r="B4" i="8" s="1"/>
  <c r="B437" i="2"/>
  <c r="O21" i="8"/>
  <c r="N4" i="8"/>
  <c r="O4" i="8" s="1"/>
  <c r="E12" i="1" s="1"/>
  <c r="O9" i="8"/>
  <c r="F74" i="1"/>
  <c r="B351" i="2"/>
  <c r="D328" i="2"/>
  <c r="I159" i="8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I9" i="8" s="1"/>
  <c r="I8" i="8" s="1"/>
  <c r="I7" i="8" s="1"/>
  <c r="I6" i="8" s="1"/>
  <c r="I4" i="8" s="1"/>
  <c r="H159" i="8"/>
  <c r="H158" i="8" s="1"/>
  <c r="H157" i="8" s="1"/>
  <c r="H156" i="8" s="1"/>
  <c r="H155" i="8" s="1"/>
  <c r="H154" i="8" s="1"/>
  <c r="H153" i="8" s="1"/>
  <c r="H152" i="8" s="1"/>
  <c r="H151" i="8" s="1"/>
  <c r="H150" i="8" s="1"/>
  <c r="H149" i="8" s="1"/>
  <c r="H148" i="8" s="1"/>
  <c r="H147" i="8" s="1"/>
  <c r="H146" i="8" s="1"/>
  <c r="H145" i="8" s="1"/>
  <c r="H144" i="8" s="1"/>
  <c r="H143" i="8" s="1"/>
  <c r="H142" i="8" s="1"/>
  <c r="H141" i="8" s="1"/>
  <c r="H140" i="8" s="1"/>
  <c r="H139" i="8" s="1"/>
  <c r="H138" i="8" s="1"/>
  <c r="H137" i="8" s="1"/>
  <c r="H136" i="8" s="1"/>
  <c r="H135" i="8" s="1"/>
  <c r="H134" i="8" s="1"/>
  <c r="H133" i="8" s="1"/>
  <c r="H132" i="8" s="1"/>
  <c r="H131" i="8" s="1"/>
  <c r="H130" i="8" s="1"/>
  <c r="H129" i="8" s="1"/>
  <c r="H128" i="8" s="1"/>
  <c r="H127" i="8" s="1"/>
  <c r="H126" i="8" s="1"/>
  <c r="H125" i="8" s="1"/>
  <c r="H124" i="8" s="1"/>
  <c r="H123" i="8" s="1"/>
  <c r="H122" i="8" s="1"/>
  <c r="H121" i="8" s="1"/>
  <c r="H120" i="8" s="1"/>
  <c r="H119" i="8" s="1"/>
  <c r="H118" i="8" s="1"/>
  <c r="H117" i="8" s="1"/>
  <c r="H116" i="8" s="1"/>
  <c r="H115" i="8" s="1"/>
  <c r="H114" i="8" s="1"/>
  <c r="H113" i="8" s="1"/>
  <c r="H112" i="8" s="1"/>
  <c r="H111" i="8" s="1"/>
  <c r="H110" i="8" s="1"/>
  <c r="H109" i="8" s="1"/>
  <c r="H108" i="8" s="1"/>
  <c r="H107" i="8" s="1"/>
  <c r="H106" i="8" s="1"/>
  <c r="H105" i="8" s="1"/>
  <c r="H104" i="8" s="1"/>
  <c r="H103" i="8" s="1"/>
  <c r="H102" i="8" s="1"/>
  <c r="H101" i="8" s="1"/>
  <c r="H100" i="8" s="1"/>
  <c r="H99" i="8" s="1"/>
  <c r="H98" i="8" s="1"/>
  <c r="H97" i="8" s="1"/>
  <c r="H96" i="8" s="1"/>
  <c r="H95" i="8" s="1"/>
  <c r="H94" i="8" s="1"/>
  <c r="H93" i="8" s="1"/>
  <c r="H92" i="8" s="1"/>
  <c r="H91" i="8" s="1"/>
  <c r="H90" i="8" s="1"/>
  <c r="H89" i="8" s="1"/>
  <c r="H88" i="8" s="1"/>
  <c r="H87" i="8" s="1"/>
  <c r="H86" i="8" s="1"/>
  <c r="H85" i="8" s="1"/>
  <c r="H84" i="8" s="1"/>
  <c r="H83" i="8" s="1"/>
  <c r="H82" i="8" s="1"/>
  <c r="H81" i="8" s="1"/>
  <c r="H80" i="8" s="1"/>
  <c r="H79" i="8" s="1"/>
  <c r="H78" i="8" s="1"/>
  <c r="H77" i="8" s="1"/>
  <c r="H76" i="8" s="1"/>
  <c r="H75" i="8" s="1"/>
  <c r="H74" i="8" s="1"/>
  <c r="H73" i="8" s="1"/>
  <c r="H72" i="8" s="1"/>
  <c r="H71" i="8" s="1"/>
  <c r="H70" i="8" s="1"/>
  <c r="H69" i="8" s="1"/>
  <c r="H68" i="8" s="1"/>
  <c r="H67" i="8" s="1"/>
  <c r="H66" i="8" s="1"/>
  <c r="H65" i="8" s="1"/>
  <c r="H64" i="8" s="1"/>
  <c r="H63" i="8" s="1"/>
  <c r="H62" i="8" s="1"/>
  <c r="H61" i="8" s="1"/>
  <c r="H60" i="8" s="1"/>
  <c r="H59" i="8" s="1"/>
  <c r="H58" i="8" s="1"/>
  <c r="H57" i="8" s="1"/>
  <c r="H56" i="8" s="1"/>
  <c r="H55" i="8" s="1"/>
  <c r="H54" i="8" s="1"/>
  <c r="H53" i="8" s="1"/>
  <c r="H52" i="8" s="1"/>
  <c r="H51" i="8" s="1"/>
  <c r="H50" i="8" s="1"/>
  <c r="H49" i="8" s="1"/>
  <c r="H48" i="8" s="1"/>
  <c r="H47" i="8" s="1"/>
  <c r="H46" i="8" s="1"/>
  <c r="H45" i="8" s="1"/>
  <c r="H44" i="8" s="1"/>
  <c r="H43" i="8" s="1"/>
  <c r="H42" i="8" s="1"/>
  <c r="H41" i="8" s="1"/>
  <c r="H40" i="8" s="1"/>
  <c r="H39" i="8" s="1"/>
  <c r="H38" i="8" s="1"/>
  <c r="H37" i="8" s="1"/>
  <c r="H36" i="8" s="1"/>
  <c r="H35" i="8" s="1"/>
  <c r="H34" i="8" s="1"/>
  <c r="H33" i="8" s="1"/>
  <c r="H32" i="8" s="1"/>
  <c r="H31" i="8" s="1"/>
  <c r="H30" i="8" s="1"/>
  <c r="H29" i="8" s="1"/>
  <c r="H28" i="8" s="1"/>
  <c r="H27" i="8" s="1"/>
  <c r="H26" i="8" s="1"/>
  <c r="H25" i="8" s="1"/>
  <c r="H24" i="8" s="1"/>
  <c r="H23" i="8" s="1"/>
  <c r="H22" i="8" s="1"/>
  <c r="H21" i="8" s="1"/>
  <c r="H20" i="8" s="1"/>
  <c r="H19" i="8" s="1"/>
  <c r="H18" i="8" s="1"/>
  <c r="H17" i="8" s="1"/>
  <c r="H16" i="8" s="1"/>
  <c r="H15" i="8" s="1"/>
  <c r="H14" i="8" s="1"/>
  <c r="H13" i="8" s="1"/>
  <c r="H12" i="8" s="1"/>
  <c r="H11" i="8" s="1"/>
  <c r="H10" i="8" s="1"/>
  <c r="H9" i="8" s="1"/>
  <c r="H8" i="8" s="1"/>
  <c r="H7" i="8" s="1"/>
  <c r="H6" i="8" s="1"/>
  <c r="H4" i="8" s="1"/>
  <c r="O19" i="8" s="1"/>
  <c r="E61" i="1" s="1"/>
  <c r="J159" i="8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J9" i="8" s="1"/>
  <c r="J8" i="8" s="1"/>
  <c r="J7" i="8" s="1"/>
  <c r="J6" i="8" s="1"/>
  <c r="J4" i="8" s="1"/>
  <c r="B4" i="6"/>
  <c r="B12" i="6" s="1"/>
  <c r="B13" i="6" s="1"/>
  <c r="B95" i="2"/>
  <c r="B312" i="2"/>
  <c r="K3" i="17" s="1"/>
  <c r="B204" i="2"/>
  <c r="E3" i="8"/>
  <c r="E159" i="8" s="1"/>
  <c r="E158" i="8" s="1"/>
  <c r="E157" i="8" s="1"/>
  <c r="E156" i="8" s="1"/>
  <c r="E155" i="8" s="1"/>
  <c r="E154" i="8" s="1"/>
  <c r="E153" i="8" s="1"/>
  <c r="E152" i="8" s="1"/>
  <c r="E151" i="8" s="1"/>
  <c r="E150" i="8" s="1"/>
  <c r="E149" i="8" s="1"/>
  <c r="E148" i="8" s="1"/>
  <c r="E147" i="8" s="1"/>
  <c r="E146" i="8" s="1"/>
  <c r="E145" i="8" s="1"/>
  <c r="E144" i="8" s="1"/>
  <c r="E143" i="8" s="1"/>
  <c r="E142" i="8" s="1"/>
  <c r="E141" i="8" s="1"/>
  <c r="E140" i="8" s="1"/>
  <c r="E139" i="8" s="1"/>
  <c r="E138" i="8" s="1"/>
  <c r="E137" i="8" s="1"/>
  <c r="E136" i="8" s="1"/>
  <c r="E135" i="8" s="1"/>
  <c r="E134" i="8" s="1"/>
  <c r="E133" i="8" s="1"/>
  <c r="E132" i="8" s="1"/>
  <c r="E131" i="8" s="1"/>
  <c r="E130" i="8" s="1"/>
  <c r="E129" i="8" s="1"/>
  <c r="E128" i="8" s="1"/>
  <c r="E127" i="8" s="1"/>
  <c r="E126" i="8" s="1"/>
  <c r="E125" i="8" s="1"/>
  <c r="E124" i="8" s="1"/>
  <c r="E123" i="8" s="1"/>
  <c r="E122" i="8" s="1"/>
  <c r="E121" i="8" s="1"/>
  <c r="E120" i="8" s="1"/>
  <c r="E119" i="8" s="1"/>
  <c r="E118" i="8" s="1"/>
  <c r="E117" i="8" s="1"/>
  <c r="E116" i="8" s="1"/>
  <c r="E115" i="8" s="1"/>
  <c r="E114" i="8" s="1"/>
  <c r="E113" i="8" s="1"/>
  <c r="E112" i="8" s="1"/>
  <c r="E111" i="8" s="1"/>
  <c r="E110" i="8" s="1"/>
  <c r="E109" i="8" s="1"/>
  <c r="E108" i="8" s="1"/>
  <c r="E107" i="8" s="1"/>
  <c r="E106" i="8" s="1"/>
  <c r="E105" i="8" s="1"/>
  <c r="E104" i="8" s="1"/>
  <c r="E103" i="8" s="1"/>
  <c r="E102" i="8" s="1"/>
  <c r="E101" i="8" s="1"/>
  <c r="E100" i="8" s="1"/>
  <c r="E99" i="8" s="1"/>
  <c r="E98" i="8" s="1"/>
  <c r="E97" i="8" s="1"/>
  <c r="E96" i="8" s="1"/>
  <c r="E95" i="8" s="1"/>
  <c r="E94" i="8" s="1"/>
  <c r="E93" i="8" s="1"/>
  <c r="E92" i="8" s="1"/>
  <c r="E91" i="8" s="1"/>
  <c r="E90" i="8" s="1"/>
  <c r="E89" i="8" s="1"/>
  <c r="E88" i="8" s="1"/>
  <c r="E87" i="8" s="1"/>
  <c r="E86" i="8" s="1"/>
  <c r="E85" i="8" s="1"/>
  <c r="E84" i="8" s="1"/>
  <c r="E83" i="8" s="1"/>
  <c r="E82" i="8" s="1"/>
  <c r="E81" i="8" s="1"/>
  <c r="E80" i="8" s="1"/>
  <c r="E79" i="8" s="1"/>
  <c r="E78" i="8" s="1"/>
  <c r="E77" i="8" s="1"/>
  <c r="E76" i="8" s="1"/>
  <c r="E75" i="8" s="1"/>
  <c r="E74" i="8" s="1"/>
  <c r="E73" i="8" s="1"/>
  <c r="E72" i="8" s="1"/>
  <c r="E71" i="8" s="1"/>
  <c r="E70" i="8" s="1"/>
  <c r="E69" i="8" s="1"/>
  <c r="E68" i="8" s="1"/>
  <c r="E67" i="8" s="1"/>
  <c r="E66" i="8" s="1"/>
  <c r="E65" i="8" s="1"/>
  <c r="E64" i="8" s="1"/>
  <c r="E63" i="8" s="1"/>
  <c r="E62" i="8" s="1"/>
  <c r="E61" i="8" s="1"/>
  <c r="E60" i="8" s="1"/>
  <c r="E59" i="8" s="1"/>
  <c r="E58" i="8" s="1"/>
  <c r="E57" i="8" s="1"/>
  <c r="E56" i="8" s="1"/>
  <c r="E55" i="8" s="1"/>
  <c r="E54" i="8" s="1"/>
  <c r="E53" i="8" s="1"/>
  <c r="E52" i="8" s="1"/>
  <c r="E51" i="8" s="1"/>
  <c r="E50" i="8" s="1"/>
  <c r="E49" i="8" s="1"/>
  <c r="E48" i="8" s="1"/>
  <c r="E47" i="8" s="1"/>
  <c r="E46" i="8" s="1"/>
  <c r="E45" i="8" s="1"/>
  <c r="E44" i="8" s="1"/>
  <c r="E43" i="8" s="1"/>
  <c r="E42" i="8" s="1"/>
  <c r="E41" i="8" s="1"/>
  <c r="E40" i="8" s="1"/>
  <c r="E39" i="8" s="1"/>
  <c r="E38" i="8" s="1"/>
  <c r="E37" i="8" s="1"/>
  <c r="E36" i="8" s="1"/>
  <c r="E35" i="8" s="1"/>
  <c r="E34" i="8" s="1"/>
  <c r="E33" i="8" s="1"/>
  <c r="E32" i="8" s="1"/>
  <c r="E31" i="8" s="1"/>
  <c r="E30" i="8" s="1"/>
  <c r="E29" i="8" s="1"/>
  <c r="E28" i="8" s="1"/>
  <c r="E27" i="8" s="1"/>
  <c r="E26" i="8" s="1"/>
  <c r="E25" i="8" s="1"/>
  <c r="E24" i="8" s="1"/>
  <c r="E23" i="8" s="1"/>
  <c r="E22" i="8" s="1"/>
  <c r="E21" i="8" s="1"/>
  <c r="E20" i="8" s="1"/>
  <c r="E19" i="8" s="1"/>
  <c r="E18" i="8" s="1"/>
  <c r="E17" i="8" s="1"/>
  <c r="E16" i="8" s="1"/>
  <c r="E15" i="8" s="1"/>
  <c r="E14" i="8" s="1"/>
  <c r="E13" i="8" s="1"/>
  <c r="E12" i="8" s="1"/>
  <c r="E11" i="8" s="1"/>
  <c r="E10" i="8" s="1"/>
  <c r="E9" i="8" s="1"/>
  <c r="E8" i="8" s="1"/>
  <c r="E7" i="8" s="1"/>
  <c r="E6" i="8" s="1"/>
  <c r="E4" i="8" s="1"/>
  <c r="BC12" i="21" l="1"/>
  <c r="L12" i="21"/>
  <c r="BC106" i="21"/>
  <c r="L106" i="21"/>
  <c r="BC102" i="21"/>
  <c r="L102" i="21"/>
  <c r="BC98" i="21"/>
  <c r="L98" i="21"/>
  <c r="BC94" i="21"/>
  <c r="L94" i="21"/>
  <c r="BC90" i="21"/>
  <c r="L90" i="21"/>
  <c r="BC86" i="21"/>
  <c r="L86" i="21"/>
  <c r="BC82" i="21"/>
  <c r="L82" i="21"/>
  <c r="BC78" i="21"/>
  <c r="L78" i="21"/>
  <c r="BC74" i="21"/>
  <c r="L74" i="21"/>
  <c r="BC70" i="21"/>
  <c r="L70" i="21"/>
  <c r="BC66" i="21"/>
  <c r="L66" i="21"/>
  <c r="BC62" i="21"/>
  <c r="L62" i="21"/>
  <c r="BC58" i="21"/>
  <c r="L58" i="21"/>
  <c r="BC54" i="21"/>
  <c r="L54" i="21"/>
  <c r="BC50" i="21"/>
  <c r="L50" i="21"/>
  <c r="BC46" i="21"/>
  <c r="L46" i="21"/>
  <c r="BC42" i="21"/>
  <c r="L42" i="21"/>
  <c r="BC38" i="21"/>
  <c r="L38" i="21"/>
  <c r="BC34" i="21"/>
  <c r="L34" i="21"/>
  <c r="BC30" i="21"/>
  <c r="L30" i="21"/>
  <c r="BC26" i="21"/>
  <c r="L26" i="21"/>
  <c r="BC22" i="21"/>
  <c r="L22" i="21"/>
  <c r="BC18" i="21"/>
  <c r="L18" i="21"/>
  <c r="BC14" i="21"/>
  <c r="L14" i="21"/>
  <c r="BC10" i="21"/>
  <c r="L10" i="21"/>
  <c r="BC107" i="21"/>
  <c r="L107" i="21"/>
  <c r="BC103" i="21"/>
  <c r="L103" i="21"/>
  <c r="BC99" i="21"/>
  <c r="L99" i="21"/>
  <c r="BC95" i="21"/>
  <c r="L95" i="21"/>
  <c r="BC91" i="21"/>
  <c r="L91" i="21"/>
  <c r="BC87" i="21"/>
  <c r="L87" i="21"/>
  <c r="BC83" i="21"/>
  <c r="L83" i="21"/>
  <c r="BC79" i="21"/>
  <c r="L79" i="21"/>
  <c r="BC75" i="21"/>
  <c r="L75" i="21"/>
  <c r="BC71" i="21"/>
  <c r="L71" i="21"/>
  <c r="BC67" i="21"/>
  <c r="L67" i="21"/>
  <c r="BC63" i="21"/>
  <c r="L63" i="21"/>
  <c r="BC59" i="21"/>
  <c r="L59" i="21"/>
  <c r="BC55" i="21"/>
  <c r="L55" i="21"/>
  <c r="BC51" i="21"/>
  <c r="L51" i="21"/>
  <c r="BC47" i="21"/>
  <c r="L47" i="21"/>
  <c r="BC43" i="21"/>
  <c r="L43" i="21"/>
  <c r="BC39" i="21"/>
  <c r="L39" i="21"/>
  <c r="BC35" i="21"/>
  <c r="L35" i="21"/>
  <c r="BC31" i="21"/>
  <c r="L31" i="21"/>
  <c r="BC27" i="21"/>
  <c r="L27" i="21"/>
  <c r="BC23" i="21"/>
  <c r="L23" i="21"/>
  <c r="BC19" i="21"/>
  <c r="L19" i="21"/>
  <c r="BC15" i="21"/>
  <c r="L15" i="21"/>
  <c r="BC11" i="21"/>
  <c r="L11" i="21"/>
  <c r="BC108" i="21"/>
  <c r="L108" i="21"/>
  <c r="BC104" i="21"/>
  <c r="L104" i="21"/>
  <c r="BC100" i="21"/>
  <c r="L100" i="21"/>
  <c r="BC96" i="21"/>
  <c r="L96" i="21"/>
  <c r="BC92" i="21"/>
  <c r="L92" i="21"/>
  <c r="BC88" i="21"/>
  <c r="L88" i="21"/>
  <c r="BC84" i="21"/>
  <c r="L84" i="21"/>
  <c r="BC80" i="21"/>
  <c r="L80" i="21"/>
  <c r="BC76" i="21"/>
  <c r="L76" i="21"/>
  <c r="BC72" i="21"/>
  <c r="L72" i="21"/>
  <c r="BC68" i="21"/>
  <c r="L68" i="21"/>
  <c r="BC64" i="21"/>
  <c r="L64" i="21"/>
  <c r="BC60" i="21"/>
  <c r="L60" i="21"/>
  <c r="BC56" i="21"/>
  <c r="L56" i="21"/>
  <c r="BC52" i="21"/>
  <c r="L52" i="21"/>
  <c r="BC48" i="21"/>
  <c r="L48" i="21"/>
  <c r="BC44" i="21"/>
  <c r="L44" i="21"/>
  <c r="BC40" i="21"/>
  <c r="L40" i="21"/>
  <c r="BC36" i="21"/>
  <c r="L36" i="21"/>
  <c r="BC32" i="21"/>
  <c r="L32" i="21"/>
  <c r="BC28" i="21"/>
  <c r="L28" i="21"/>
  <c r="BC24" i="21"/>
  <c r="L24" i="21"/>
  <c r="BC20" i="21"/>
  <c r="L20" i="21"/>
  <c r="BC16" i="21"/>
  <c r="L16" i="21"/>
  <c r="BC109" i="21"/>
  <c r="L109" i="21"/>
  <c r="BC105" i="21"/>
  <c r="L105" i="21"/>
  <c r="BC101" i="21"/>
  <c r="L101" i="21"/>
  <c r="BC97" i="21"/>
  <c r="L97" i="21"/>
  <c r="BC93" i="21"/>
  <c r="L93" i="21"/>
  <c r="BC89" i="21"/>
  <c r="L89" i="21"/>
  <c r="BC85" i="21"/>
  <c r="L85" i="21"/>
  <c r="BC81" i="21"/>
  <c r="L81" i="21"/>
  <c r="BC77" i="21"/>
  <c r="L77" i="21"/>
  <c r="BC73" i="21"/>
  <c r="L73" i="21"/>
  <c r="BC69" i="21"/>
  <c r="L69" i="21"/>
  <c r="BC65" i="21"/>
  <c r="L65" i="21"/>
  <c r="BC61" i="21"/>
  <c r="L61" i="21"/>
  <c r="BC57" i="21"/>
  <c r="L57" i="21"/>
  <c r="BC53" i="21"/>
  <c r="L53" i="21"/>
  <c r="BC49" i="21"/>
  <c r="L49" i="21"/>
  <c r="BC45" i="21"/>
  <c r="L45" i="21"/>
  <c r="BC41" i="21"/>
  <c r="L41" i="21"/>
  <c r="BC37" i="21"/>
  <c r="L37" i="21"/>
  <c r="BC33" i="21"/>
  <c r="L33" i="21"/>
  <c r="BC29" i="21"/>
  <c r="L29" i="21"/>
  <c r="BC25" i="21"/>
  <c r="L25" i="21"/>
  <c r="BC21" i="21"/>
  <c r="L21" i="21"/>
  <c r="BC17" i="21"/>
  <c r="L17" i="21"/>
  <c r="BC13" i="21"/>
  <c r="L13" i="21"/>
  <c r="B73" i="21"/>
  <c r="B45" i="21"/>
  <c r="B72" i="21"/>
  <c r="I79" i="21"/>
  <c r="J79" i="21" s="1"/>
  <c r="AY79" i="21" s="1"/>
  <c r="I78" i="21"/>
  <c r="J78" i="21" s="1"/>
  <c r="AY78" i="21" s="1"/>
  <c r="I76" i="21"/>
  <c r="J76" i="21" s="1"/>
  <c r="AY76" i="21" s="1"/>
  <c r="I74" i="21"/>
  <c r="J74" i="21" s="1"/>
  <c r="AY74" i="21" s="1"/>
  <c r="I73" i="21"/>
  <c r="J73" i="21" s="1"/>
  <c r="AY73" i="21" s="1"/>
  <c r="I71" i="21"/>
  <c r="J71" i="21" s="1"/>
  <c r="AY71" i="21" s="1"/>
  <c r="I70" i="21"/>
  <c r="J70" i="21" s="1"/>
  <c r="AY70" i="21" s="1"/>
  <c r="I109" i="21"/>
  <c r="J109" i="21" s="1"/>
  <c r="AY109" i="21" s="1"/>
  <c r="I108" i="21"/>
  <c r="J108" i="21" s="1"/>
  <c r="AY108" i="21" s="1"/>
  <c r="I107" i="21"/>
  <c r="J107" i="21" s="1"/>
  <c r="AY107" i="21" s="1"/>
  <c r="I106" i="21"/>
  <c r="J106" i="21" s="1"/>
  <c r="AY106" i="21" s="1"/>
  <c r="I105" i="21"/>
  <c r="J105" i="21" s="1"/>
  <c r="AY105" i="21" s="1"/>
  <c r="I104" i="21"/>
  <c r="J104" i="21" s="1"/>
  <c r="AY104" i="21" s="1"/>
  <c r="I103" i="21"/>
  <c r="J103" i="21" s="1"/>
  <c r="AY103" i="21" s="1"/>
  <c r="I102" i="21"/>
  <c r="J102" i="21" s="1"/>
  <c r="AY102" i="21" s="1"/>
  <c r="I101" i="21"/>
  <c r="J101" i="21" s="1"/>
  <c r="AY101" i="21" s="1"/>
  <c r="I100" i="21"/>
  <c r="J100" i="21" s="1"/>
  <c r="AY100" i="21" s="1"/>
  <c r="I99" i="21"/>
  <c r="J99" i="21" s="1"/>
  <c r="AY99" i="21" s="1"/>
  <c r="I98" i="21"/>
  <c r="J98" i="21" s="1"/>
  <c r="AY98" i="21" s="1"/>
  <c r="I97" i="21"/>
  <c r="J97" i="21" s="1"/>
  <c r="AY97" i="21" s="1"/>
  <c r="I96" i="21"/>
  <c r="J96" i="21" s="1"/>
  <c r="AY96" i="21" s="1"/>
  <c r="I95" i="21"/>
  <c r="J95" i="21" s="1"/>
  <c r="AY95" i="21" s="1"/>
  <c r="I94" i="21"/>
  <c r="J94" i="21" s="1"/>
  <c r="AY94" i="21" s="1"/>
  <c r="I93" i="21"/>
  <c r="J93" i="21" s="1"/>
  <c r="AY93" i="21" s="1"/>
  <c r="I92" i="21"/>
  <c r="J92" i="21" s="1"/>
  <c r="AY92" i="21" s="1"/>
  <c r="I91" i="21"/>
  <c r="J91" i="21" s="1"/>
  <c r="AY91" i="21" s="1"/>
  <c r="I51" i="21"/>
  <c r="J51" i="21" s="1"/>
  <c r="AY51" i="21" s="1"/>
  <c r="I46" i="21"/>
  <c r="J46" i="21" s="1"/>
  <c r="AY46" i="21" s="1"/>
  <c r="I44" i="21"/>
  <c r="J44" i="21" s="1"/>
  <c r="AY44" i="21" s="1"/>
  <c r="I42" i="21"/>
  <c r="J42" i="21" s="1"/>
  <c r="AY42" i="21" s="1"/>
  <c r="I32" i="21"/>
  <c r="J32" i="21" s="1"/>
  <c r="AY32" i="21" s="1"/>
  <c r="I59" i="21"/>
  <c r="J59" i="21" s="1"/>
  <c r="AY59" i="21" s="1"/>
  <c r="I10" i="21"/>
  <c r="J10" i="21" s="1"/>
  <c r="AY10" i="21" s="1"/>
  <c r="I17" i="21"/>
  <c r="J17" i="21" s="1"/>
  <c r="AY17" i="21" s="1"/>
  <c r="I18" i="21"/>
  <c r="J18" i="21" s="1"/>
  <c r="AY18" i="21" s="1"/>
  <c r="I20" i="21"/>
  <c r="J20" i="21" s="1"/>
  <c r="AY20" i="21" s="1"/>
  <c r="I9" i="21"/>
  <c r="J9" i="21" s="1"/>
  <c r="AY9" i="21" s="1"/>
  <c r="I11" i="21"/>
  <c r="J11" i="21" s="1"/>
  <c r="AY11" i="21" s="1"/>
  <c r="I12" i="21"/>
  <c r="J12" i="21" s="1"/>
  <c r="AY12" i="21" s="1"/>
  <c r="I13" i="21"/>
  <c r="J13" i="21" s="1"/>
  <c r="AY13" i="21" s="1"/>
  <c r="I14" i="21"/>
  <c r="J14" i="21" s="1"/>
  <c r="AY14" i="21" s="1"/>
  <c r="I15" i="21"/>
  <c r="J15" i="21" s="1"/>
  <c r="AY15" i="21" s="1"/>
  <c r="I16" i="21"/>
  <c r="J16" i="21" s="1"/>
  <c r="AY16" i="21" s="1"/>
  <c r="I19" i="21"/>
  <c r="J19" i="21" s="1"/>
  <c r="AY19" i="21" s="1"/>
  <c r="I21" i="21"/>
  <c r="J21" i="21" s="1"/>
  <c r="AY21" i="21" s="1"/>
  <c r="I23" i="21"/>
  <c r="J23" i="21" s="1"/>
  <c r="AY23" i="21" s="1"/>
  <c r="I25" i="21"/>
  <c r="J25" i="21" s="1"/>
  <c r="AY25" i="21" s="1"/>
  <c r="I29" i="21"/>
  <c r="J29" i="21" s="1"/>
  <c r="AY29" i="21" s="1"/>
  <c r="I33" i="21"/>
  <c r="J33" i="21" s="1"/>
  <c r="AY33" i="21" s="1"/>
  <c r="I37" i="21"/>
  <c r="J37" i="21" s="1"/>
  <c r="AY37" i="21" s="1"/>
  <c r="I41" i="21"/>
  <c r="J41" i="21" s="1"/>
  <c r="AY41" i="21" s="1"/>
  <c r="I45" i="21"/>
  <c r="J45" i="21" s="1"/>
  <c r="AY45" i="21" s="1"/>
  <c r="I48" i="21"/>
  <c r="J48" i="21" s="1"/>
  <c r="AY48" i="21" s="1"/>
  <c r="I52" i="21"/>
  <c r="J52" i="21" s="1"/>
  <c r="AY52" i="21" s="1"/>
  <c r="I56" i="21"/>
  <c r="J56" i="21" s="1"/>
  <c r="AY56" i="21" s="1"/>
  <c r="I68" i="21"/>
  <c r="J68" i="21" s="1"/>
  <c r="AY68" i="21" s="1"/>
  <c r="I24" i="21"/>
  <c r="J24" i="21" s="1"/>
  <c r="AY24" i="21" s="1"/>
  <c r="I30" i="21"/>
  <c r="J30" i="21" s="1"/>
  <c r="AY30" i="21" s="1"/>
  <c r="I31" i="21"/>
  <c r="J31" i="21" s="1"/>
  <c r="AY31" i="21" s="1"/>
  <c r="I38" i="21"/>
  <c r="J38" i="21" s="1"/>
  <c r="AY38" i="21" s="1"/>
  <c r="I53" i="21"/>
  <c r="J53" i="21" s="1"/>
  <c r="AY53" i="21" s="1"/>
  <c r="I58" i="21"/>
  <c r="J58" i="21" s="1"/>
  <c r="AY58" i="21" s="1"/>
  <c r="I60" i="21"/>
  <c r="J60" i="21" s="1"/>
  <c r="AY60" i="21" s="1"/>
  <c r="I61" i="21"/>
  <c r="J61" i="21" s="1"/>
  <c r="AY61" i="21" s="1"/>
  <c r="I62" i="21"/>
  <c r="J62" i="21" s="1"/>
  <c r="AY62" i="21" s="1"/>
  <c r="I63" i="21"/>
  <c r="J63" i="21" s="1"/>
  <c r="AY63" i="21" s="1"/>
  <c r="I64" i="21"/>
  <c r="J64" i="21" s="1"/>
  <c r="AY64" i="21" s="1"/>
  <c r="I65" i="21"/>
  <c r="J65" i="21" s="1"/>
  <c r="AY65" i="21" s="1"/>
  <c r="I66" i="21"/>
  <c r="J66" i="21" s="1"/>
  <c r="AY66" i="21" s="1"/>
  <c r="I67" i="21"/>
  <c r="J67" i="21" s="1"/>
  <c r="AY67" i="21" s="1"/>
  <c r="I69" i="21"/>
  <c r="J69" i="21" s="1"/>
  <c r="AY69" i="21" s="1"/>
  <c r="I72" i="21"/>
  <c r="J72" i="21" s="1"/>
  <c r="AY72" i="21" s="1"/>
  <c r="I75" i="21"/>
  <c r="J75" i="21" s="1"/>
  <c r="AY75" i="21" s="1"/>
  <c r="I77" i="21"/>
  <c r="J77" i="21" s="1"/>
  <c r="AY77" i="21" s="1"/>
  <c r="I81" i="21"/>
  <c r="J81" i="21" s="1"/>
  <c r="AY81" i="21" s="1"/>
  <c r="I83" i="21"/>
  <c r="J83" i="21" s="1"/>
  <c r="AY83" i="21" s="1"/>
  <c r="I85" i="21"/>
  <c r="J85" i="21" s="1"/>
  <c r="AY85" i="21" s="1"/>
  <c r="I87" i="21"/>
  <c r="J87" i="21" s="1"/>
  <c r="AY87" i="21" s="1"/>
  <c r="I89" i="21"/>
  <c r="J89" i="21" s="1"/>
  <c r="AY89" i="21" s="1"/>
  <c r="I22" i="21"/>
  <c r="J22" i="21" s="1"/>
  <c r="AY22" i="21" s="1"/>
  <c r="I26" i="21"/>
  <c r="J26" i="21" s="1"/>
  <c r="AY26" i="21" s="1"/>
  <c r="I28" i="21"/>
  <c r="J28" i="21" s="1"/>
  <c r="AY28" i="21" s="1"/>
  <c r="I34" i="21"/>
  <c r="J34" i="21" s="1"/>
  <c r="AY34" i="21" s="1"/>
  <c r="I39" i="21"/>
  <c r="J39" i="21" s="1"/>
  <c r="AY39" i="21" s="1"/>
  <c r="I43" i="21"/>
  <c r="J43" i="21" s="1"/>
  <c r="AY43" i="21" s="1"/>
  <c r="I47" i="21"/>
  <c r="J47" i="21" s="1"/>
  <c r="AY47" i="21" s="1"/>
  <c r="I50" i="21"/>
  <c r="J50" i="21" s="1"/>
  <c r="AY50" i="21" s="1"/>
  <c r="I54" i="21"/>
  <c r="J54" i="21" s="1"/>
  <c r="AY54" i="21" s="1"/>
  <c r="I57" i="21"/>
  <c r="J57" i="21" s="1"/>
  <c r="AY57" i="21" s="1"/>
  <c r="I27" i="21"/>
  <c r="J27" i="21" s="1"/>
  <c r="AY27" i="21" s="1"/>
  <c r="I35" i="21"/>
  <c r="J35" i="21" s="1"/>
  <c r="AY35" i="21" s="1"/>
  <c r="I36" i="21"/>
  <c r="J36" i="21" s="1"/>
  <c r="AY36" i="21" s="1"/>
  <c r="I40" i="21"/>
  <c r="J40" i="21" s="1"/>
  <c r="AY40" i="21" s="1"/>
  <c r="I49" i="21"/>
  <c r="J49" i="21" s="1"/>
  <c r="AY49" i="21" s="1"/>
  <c r="I55" i="21"/>
  <c r="J55" i="21" s="1"/>
  <c r="AY55" i="21" s="1"/>
  <c r="I80" i="21"/>
  <c r="J80" i="21" s="1"/>
  <c r="AY80" i="21" s="1"/>
  <c r="I82" i="21"/>
  <c r="J82" i="21" s="1"/>
  <c r="AY82" i="21" s="1"/>
  <c r="I84" i="21"/>
  <c r="J84" i="21" s="1"/>
  <c r="AY84" i="21" s="1"/>
  <c r="I86" i="21"/>
  <c r="J86" i="21" s="1"/>
  <c r="AY86" i="21" s="1"/>
  <c r="I88" i="21"/>
  <c r="J88" i="21" s="1"/>
  <c r="AY88" i="21" s="1"/>
  <c r="I90" i="21"/>
  <c r="J90" i="21" s="1"/>
  <c r="AY90" i="21" s="1"/>
  <c r="AW79" i="21"/>
  <c r="AW78" i="21"/>
  <c r="AW76" i="21"/>
  <c r="AW74" i="21"/>
  <c r="AW73" i="21"/>
  <c r="AW71" i="21"/>
  <c r="AW70" i="21"/>
  <c r="AW109" i="21"/>
  <c r="AW108" i="21"/>
  <c r="AW107" i="21"/>
  <c r="AW106" i="21"/>
  <c r="AW105" i="21"/>
  <c r="AW104" i="21"/>
  <c r="AW103" i="21"/>
  <c r="AW102" i="21"/>
  <c r="AW101" i="21"/>
  <c r="AW100" i="21"/>
  <c r="AW99" i="21"/>
  <c r="AW98" i="21"/>
  <c r="AW97" i="21"/>
  <c r="AW96" i="21"/>
  <c r="AW95" i="21"/>
  <c r="AW94" i="21"/>
  <c r="AW93" i="21"/>
  <c r="AW92" i="21"/>
  <c r="AW91" i="21"/>
  <c r="AW90" i="21"/>
  <c r="AW89" i="21"/>
  <c r="AW88" i="21"/>
  <c r="AW87" i="21"/>
  <c r="AW86" i="21"/>
  <c r="AW85" i="21"/>
  <c r="AW84" i="21"/>
  <c r="AW83" i="21"/>
  <c r="AW82" i="21"/>
  <c r="AW81" i="21"/>
  <c r="AW80" i="21"/>
  <c r="AW77" i="21"/>
  <c r="AW75" i="21"/>
  <c r="AW72" i="21"/>
  <c r="AW69" i="21"/>
  <c r="AW67" i="21"/>
  <c r="AW66" i="21"/>
  <c r="AW65" i="21"/>
  <c r="AW64" i="21"/>
  <c r="AW63" i="21"/>
  <c r="AW62" i="21"/>
  <c r="AW61" i="21"/>
  <c r="AW60" i="21"/>
  <c r="AW58" i="21"/>
  <c r="AW55" i="21"/>
  <c r="AW53" i="21"/>
  <c r="AW51" i="21"/>
  <c r="AW49" i="21"/>
  <c r="AW46" i="21"/>
  <c r="AW44" i="21"/>
  <c r="AW42" i="21"/>
  <c r="AW40" i="21"/>
  <c r="AW38" i="21"/>
  <c r="AW36" i="21"/>
  <c r="AW35" i="21"/>
  <c r="AW32" i="21"/>
  <c r="AW31" i="21"/>
  <c r="AW30" i="21"/>
  <c r="AW27" i="21"/>
  <c r="AW24" i="21"/>
  <c r="AW22" i="21"/>
  <c r="AW21" i="21"/>
  <c r="AW68" i="21"/>
  <c r="AW59" i="21"/>
  <c r="AW57" i="21"/>
  <c r="AW56" i="21"/>
  <c r="AW54" i="21"/>
  <c r="AW52" i="21"/>
  <c r="AW50" i="21"/>
  <c r="AW48" i="21"/>
  <c r="AW47" i="21"/>
  <c r="AW45" i="21"/>
  <c r="AW43" i="21"/>
  <c r="AW41" i="21"/>
  <c r="AW39" i="21"/>
  <c r="AW37" i="21"/>
  <c r="AW34" i="21"/>
  <c r="AW33" i="21"/>
  <c r="AW29" i="21"/>
  <c r="AW28" i="21"/>
  <c r="AW26" i="21"/>
  <c r="AW25" i="21"/>
  <c r="AW23" i="21"/>
  <c r="AW19" i="21"/>
  <c r="AW16" i="21"/>
  <c r="AW15" i="21"/>
  <c r="AW14" i="21"/>
  <c r="AW13" i="21"/>
  <c r="AW12" i="21"/>
  <c r="AW11" i="21"/>
  <c r="AW9" i="21"/>
  <c r="AW186" i="20"/>
  <c r="AW188" i="20"/>
  <c r="AW189" i="20"/>
  <c r="AW191" i="20"/>
  <c r="AW196" i="20"/>
  <c r="AW198" i="20"/>
  <c r="AW200" i="20"/>
  <c r="AW202" i="20"/>
  <c r="AW204" i="20"/>
  <c r="AW206" i="20"/>
  <c r="AW208" i="20"/>
  <c r="AW110" i="20"/>
  <c r="AW112" i="20"/>
  <c r="AW114" i="20"/>
  <c r="AW116" i="20"/>
  <c r="AW117" i="20"/>
  <c r="AW119" i="20"/>
  <c r="AW121" i="20"/>
  <c r="AW123" i="20"/>
  <c r="AW125" i="20"/>
  <c r="AW127" i="20"/>
  <c r="AW129" i="20"/>
  <c r="AW131" i="20"/>
  <c r="AW133" i="20"/>
  <c r="AW134" i="20"/>
  <c r="AW136" i="20"/>
  <c r="AW138" i="20"/>
  <c r="AW141" i="20"/>
  <c r="AW142" i="20"/>
  <c r="AW144" i="20"/>
  <c r="AW146" i="20"/>
  <c r="AW148" i="20"/>
  <c r="AW150" i="20"/>
  <c r="AW151" i="20"/>
  <c r="AW153" i="20"/>
  <c r="AW156" i="20"/>
  <c r="AW158" i="20"/>
  <c r="AW159" i="20"/>
  <c r="AW161" i="20"/>
  <c r="AW164" i="20"/>
  <c r="AW166" i="20"/>
  <c r="AW167" i="20"/>
  <c r="AW169" i="20"/>
  <c r="AW172" i="20"/>
  <c r="AW174" i="20"/>
  <c r="AW175" i="20"/>
  <c r="AW177" i="20"/>
  <c r="AW180" i="20"/>
  <c r="AW182" i="20"/>
  <c r="AW183" i="20"/>
  <c r="AW20" i="21"/>
  <c r="AW18" i="21"/>
  <c r="AW17" i="21"/>
  <c r="AW10" i="21"/>
  <c r="AW185" i="20"/>
  <c r="AW187" i="20"/>
  <c r="AW190" i="20"/>
  <c r="AW192" i="20"/>
  <c r="AW193" i="20"/>
  <c r="AW194" i="20"/>
  <c r="AW195" i="20"/>
  <c r="AW197" i="20"/>
  <c r="AW199" i="20"/>
  <c r="AW201" i="20"/>
  <c r="AW203" i="20"/>
  <c r="AW205" i="20"/>
  <c r="AW207" i="20"/>
  <c r="AW209" i="20"/>
  <c r="AW111" i="20"/>
  <c r="AW113" i="20"/>
  <c r="AW115" i="20"/>
  <c r="AW118" i="20"/>
  <c r="AW120" i="20"/>
  <c r="AW122" i="20"/>
  <c r="AW124" i="20"/>
  <c r="AW126" i="20"/>
  <c r="AW128" i="20"/>
  <c r="AW130" i="20"/>
  <c r="AW132" i="20"/>
  <c r="AW135" i="20"/>
  <c r="AW137" i="20"/>
  <c r="AW139" i="20"/>
  <c r="AW140" i="20"/>
  <c r="AW143" i="20"/>
  <c r="AW145" i="20"/>
  <c r="AW147" i="20"/>
  <c r="AW149" i="20"/>
  <c r="AW152" i="20"/>
  <c r="AW154" i="20"/>
  <c r="AW155" i="20"/>
  <c r="AW157" i="20"/>
  <c r="AW160" i="20"/>
  <c r="AW162" i="20"/>
  <c r="AW163" i="20"/>
  <c r="AW165" i="20"/>
  <c r="AW168" i="20"/>
  <c r="AW170" i="20"/>
  <c r="AW171" i="20"/>
  <c r="AW173" i="20"/>
  <c r="AW176" i="20"/>
  <c r="AW178" i="20"/>
  <c r="AW179" i="20"/>
  <c r="AW181" i="20"/>
  <c r="AW184" i="20"/>
  <c r="L206" i="20"/>
  <c r="I206" i="20"/>
  <c r="J206" i="20" s="1"/>
  <c r="AY206" i="20" s="1"/>
  <c r="L198" i="20"/>
  <c r="I198" i="20"/>
  <c r="J198" i="20" s="1"/>
  <c r="AY198" i="20" s="1"/>
  <c r="L190" i="20"/>
  <c r="I190" i="20"/>
  <c r="J190" i="20" s="1"/>
  <c r="AY190" i="20" s="1"/>
  <c r="I182" i="20"/>
  <c r="J182" i="20" s="1"/>
  <c r="AY182" i="20" s="1"/>
  <c r="L182" i="20"/>
  <c r="L169" i="20"/>
  <c r="I169" i="20"/>
  <c r="J169" i="20" s="1"/>
  <c r="AY169" i="20" s="1"/>
  <c r="I207" i="20"/>
  <c r="J207" i="20" s="1"/>
  <c r="AY207" i="20" s="1"/>
  <c r="L207" i="20"/>
  <c r="L199" i="20"/>
  <c r="I199" i="20"/>
  <c r="J199" i="20" s="1"/>
  <c r="AY199" i="20" s="1"/>
  <c r="I191" i="20"/>
  <c r="J191" i="20" s="1"/>
  <c r="AY191" i="20" s="1"/>
  <c r="L191" i="20"/>
  <c r="I204" i="20"/>
  <c r="J204" i="20" s="1"/>
  <c r="AY204" i="20" s="1"/>
  <c r="L204" i="20"/>
  <c r="L196" i="20"/>
  <c r="I196" i="20"/>
  <c r="J196" i="20" s="1"/>
  <c r="AY196" i="20" s="1"/>
  <c r="I188" i="20"/>
  <c r="J188" i="20" s="1"/>
  <c r="AY188" i="20" s="1"/>
  <c r="L188" i="20"/>
  <c r="L180" i="20"/>
  <c r="I180" i="20"/>
  <c r="J180" i="20" s="1"/>
  <c r="AY180" i="20" s="1"/>
  <c r="I165" i="20"/>
  <c r="J165" i="20" s="1"/>
  <c r="AY165" i="20" s="1"/>
  <c r="L165" i="20"/>
  <c r="L205" i="20"/>
  <c r="I205" i="20"/>
  <c r="J205" i="20" s="1"/>
  <c r="AY205" i="20" s="1"/>
  <c r="I197" i="20"/>
  <c r="J197" i="20" s="1"/>
  <c r="AY197" i="20" s="1"/>
  <c r="L197" i="20"/>
  <c r="I189" i="20"/>
  <c r="J189" i="20" s="1"/>
  <c r="AY189" i="20" s="1"/>
  <c r="L189" i="20"/>
  <c r="I181" i="20"/>
  <c r="J181" i="20" s="1"/>
  <c r="AY181" i="20" s="1"/>
  <c r="L181" i="20"/>
  <c r="I167" i="20"/>
  <c r="J167" i="20" s="1"/>
  <c r="AY167" i="20" s="1"/>
  <c r="L167" i="20"/>
  <c r="I155" i="20"/>
  <c r="J155" i="20" s="1"/>
  <c r="AY155" i="20" s="1"/>
  <c r="L155" i="20"/>
  <c r="I147" i="20"/>
  <c r="J147" i="20" s="1"/>
  <c r="AY147" i="20" s="1"/>
  <c r="L147" i="20"/>
  <c r="I139" i="20"/>
  <c r="J139" i="20" s="1"/>
  <c r="AY139" i="20" s="1"/>
  <c r="L139" i="20"/>
  <c r="I131" i="20"/>
  <c r="J131" i="20" s="1"/>
  <c r="AY131" i="20" s="1"/>
  <c r="L131" i="20"/>
  <c r="I123" i="20"/>
  <c r="J123" i="20" s="1"/>
  <c r="AY123" i="20" s="1"/>
  <c r="L123" i="20"/>
  <c r="I115" i="20"/>
  <c r="J115" i="20" s="1"/>
  <c r="AY115" i="20" s="1"/>
  <c r="L115" i="20"/>
  <c r="L172" i="20"/>
  <c r="I172" i="20"/>
  <c r="J172" i="20" s="1"/>
  <c r="AY172" i="20" s="1"/>
  <c r="L164" i="20"/>
  <c r="I164" i="20"/>
  <c r="J164" i="20" s="1"/>
  <c r="AY164" i="20" s="1"/>
  <c r="L156" i="20"/>
  <c r="I156" i="20"/>
  <c r="J156" i="20" s="1"/>
  <c r="AY156" i="20" s="1"/>
  <c r="L148" i="20"/>
  <c r="I148" i="20"/>
  <c r="J148" i="20" s="1"/>
  <c r="AY148" i="20" s="1"/>
  <c r="L140" i="20"/>
  <c r="I140" i="20"/>
  <c r="J140" i="20" s="1"/>
  <c r="AY140" i="20" s="1"/>
  <c r="L132" i="20"/>
  <c r="I132" i="20"/>
  <c r="J132" i="20" s="1"/>
  <c r="AY132" i="20" s="1"/>
  <c r="L124" i="20"/>
  <c r="I124" i="20"/>
  <c r="J124" i="20" s="1"/>
  <c r="AY124" i="20" s="1"/>
  <c r="L116" i="20"/>
  <c r="I116" i="20"/>
  <c r="J116" i="20" s="1"/>
  <c r="AY116" i="20" s="1"/>
  <c r="L183" i="20"/>
  <c r="I183" i="20"/>
  <c r="J183" i="20" s="1"/>
  <c r="AY183" i="20" s="1"/>
  <c r="L171" i="20"/>
  <c r="I171" i="20"/>
  <c r="J171" i="20" s="1"/>
  <c r="AY171" i="20" s="1"/>
  <c r="L157" i="20"/>
  <c r="I157" i="20"/>
  <c r="J157" i="20" s="1"/>
  <c r="AY157" i="20" s="1"/>
  <c r="L149" i="20"/>
  <c r="I149" i="20"/>
  <c r="J149" i="20" s="1"/>
  <c r="AY149" i="20" s="1"/>
  <c r="L141" i="20"/>
  <c r="I141" i="20"/>
  <c r="J141" i="20" s="1"/>
  <c r="AY141" i="20" s="1"/>
  <c r="L133" i="20"/>
  <c r="I133" i="20"/>
  <c r="J133" i="20" s="1"/>
  <c r="AY133" i="20" s="1"/>
  <c r="L125" i="20"/>
  <c r="I125" i="20"/>
  <c r="J125" i="20" s="1"/>
  <c r="AY125" i="20" s="1"/>
  <c r="L117" i="20"/>
  <c r="I117" i="20"/>
  <c r="J117" i="20" s="1"/>
  <c r="AY117" i="20" s="1"/>
  <c r="I174" i="20"/>
  <c r="J174" i="20" s="1"/>
  <c r="AY174" i="20" s="1"/>
  <c r="L174" i="20"/>
  <c r="I166" i="20"/>
  <c r="J166" i="20" s="1"/>
  <c r="AY166" i="20" s="1"/>
  <c r="L166" i="20"/>
  <c r="I158" i="20"/>
  <c r="J158" i="20" s="1"/>
  <c r="AY158" i="20" s="1"/>
  <c r="L158" i="20"/>
  <c r="I150" i="20"/>
  <c r="J150" i="20" s="1"/>
  <c r="AY150" i="20" s="1"/>
  <c r="L150" i="20"/>
  <c r="L142" i="20"/>
  <c r="I142" i="20"/>
  <c r="J142" i="20" s="1"/>
  <c r="AY142" i="20" s="1"/>
  <c r="L134" i="20"/>
  <c r="I134" i="20"/>
  <c r="J134" i="20" s="1"/>
  <c r="AY134" i="20" s="1"/>
  <c r="L126" i="20"/>
  <c r="I126" i="20"/>
  <c r="J126" i="20" s="1"/>
  <c r="AY126" i="20" s="1"/>
  <c r="I118" i="20"/>
  <c r="J118" i="20" s="1"/>
  <c r="AY118" i="20" s="1"/>
  <c r="L118" i="20"/>
  <c r="L110" i="20"/>
  <c r="I110" i="20"/>
  <c r="J110" i="20" s="1"/>
  <c r="AY110" i="20" s="1"/>
  <c r="I202" i="20"/>
  <c r="J202" i="20" s="1"/>
  <c r="AY202" i="20" s="1"/>
  <c r="L202" i="20"/>
  <c r="L194" i="20"/>
  <c r="I194" i="20"/>
  <c r="J194" i="20" s="1"/>
  <c r="AY194" i="20" s="1"/>
  <c r="I186" i="20"/>
  <c r="J186" i="20" s="1"/>
  <c r="AY186" i="20" s="1"/>
  <c r="L186" i="20"/>
  <c r="L177" i="20"/>
  <c r="I177" i="20"/>
  <c r="J177" i="20" s="1"/>
  <c r="AY177" i="20" s="1"/>
  <c r="L161" i="20"/>
  <c r="I161" i="20"/>
  <c r="J161" i="20" s="1"/>
  <c r="AY161" i="20" s="1"/>
  <c r="L203" i="20"/>
  <c r="I203" i="20"/>
  <c r="J203" i="20" s="1"/>
  <c r="AY203" i="20" s="1"/>
  <c r="L195" i="20"/>
  <c r="I195" i="20"/>
  <c r="J195" i="20" s="1"/>
  <c r="AY195" i="20" s="1"/>
  <c r="I208" i="20"/>
  <c r="J208" i="20" s="1"/>
  <c r="AY208" i="20" s="1"/>
  <c r="L208" i="20"/>
  <c r="I200" i="20"/>
  <c r="J200" i="20" s="1"/>
  <c r="AY200" i="20" s="1"/>
  <c r="L200" i="20"/>
  <c r="I192" i="20"/>
  <c r="J192" i="20" s="1"/>
  <c r="AY192" i="20" s="1"/>
  <c r="L192" i="20"/>
  <c r="L184" i="20"/>
  <c r="I184" i="20"/>
  <c r="J184" i="20" s="1"/>
  <c r="AY184" i="20" s="1"/>
  <c r="I173" i="20"/>
  <c r="J173" i="20" s="1"/>
  <c r="AY173" i="20" s="1"/>
  <c r="L173" i="20"/>
  <c r="I209" i="20"/>
  <c r="J209" i="20" s="1"/>
  <c r="AY209" i="20" s="1"/>
  <c r="L209" i="20"/>
  <c r="I201" i="20"/>
  <c r="J201" i="20" s="1"/>
  <c r="AY201" i="20" s="1"/>
  <c r="L201" i="20"/>
  <c r="L193" i="20"/>
  <c r="I193" i="20"/>
  <c r="J193" i="20" s="1"/>
  <c r="AY193" i="20" s="1"/>
  <c r="I185" i="20"/>
  <c r="J185" i="20" s="1"/>
  <c r="AY185" i="20" s="1"/>
  <c r="L185" i="20"/>
  <c r="I175" i="20"/>
  <c r="J175" i="20" s="1"/>
  <c r="AY175" i="20" s="1"/>
  <c r="L175" i="20"/>
  <c r="I159" i="20"/>
  <c r="J159" i="20" s="1"/>
  <c r="AY159" i="20" s="1"/>
  <c r="L159" i="20"/>
  <c r="I151" i="20"/>
  <c r="J151" i="20" s="1"/>
  <c r="AY151" i="20" s="1"/>
  <c r="L151" i="20"/>
  <c r="I143" i="20"/>
  <c r="J143" i="20" s="1"/>
  <c r="AY143" i="20" s="1"/>
  <c r="L143" i="20"/>
  <c r="I135" i="20"/>
  <c r="J135" i="20" s="1"/>
  <c r="AY135" i="20" s="1"/>
  <c r="L135" i="20"/>
  <c r="I127" i="20"/>
  <c r="J127" i="20" s="1"/>
  <c r="AY127" i="20" s="1"/>
  <c r="L127" i="20"/>
  <c r="I119" i="20"/>
  <c r="J119" i="20" s="1"/>
  <c r="AY119" i="20" s="1"/>
  <c r="L119" i="20"/>
  <c r="I111" i="20"/>
  <c r="J111" i="20" s="1"/>
  <c r="AY111" i="20" s="1"/>
  <c r="L111" i="20"/>
  <c r="L176" i="20"/>
  <c r="I176" i="20"/>
  <c r="J176" i="20" s="1"/>
  <c r="AY176" i="20" s="1"/>
  <c r="L168" i="20"/>
  <c r="I168" i="20"/>
  <c r="J168" i="20" s="1"/>
  <c r="AY168" i="20" s="1"/>
  <c r="L160" i="20"/>
  <c r="I160" i="20"/>
  <c r="J160" i="20" s="1"/>
  <c r="AY160" i="20" s="1"/>
  <c r="L152" i="20"/>
  <c r="I152" i="20"/>
  <c r="J152" i="20" s="1"/>
  <c r="AY152" i="20" s="1"/>
  <c r="L144" i="20"/>
  <c r="I144" i="20"/>
  <c r="J144" i="20" s="1"/>
  <c r="AY144" i="20" s="1"/>
  <c r="L136" i="20"/>
  <c r="I136" i="20"/>
  <c r="J136" i="20" s="1"/>
  <c r="AY136" i="20" s="1"/>
  <c r="L128" i="20"/>
  <c r="I128" i="20"/>
  <c r="J128" i="20" s="1"/>
  <c r="AY128" i="20" s="1"/>
  <c r="L120" i="20"/>
  <c r="I120" i="20"/>
  <c r="J120" i="20" s="1"/>
  <c r="AY120" i="20" s="1"/>
  <c r="L112" i="20"/>
  <c r="I112" i="20"/>
  <c r="J112" i="20" s="1"/>
  <c r="AY112" i="20" s="1"/>
  <c r="I187" i="20"/>
  <c r="J187" i="20" s="1"/>
  <c r="AY187" i="20" s="1"/>
  <c r="L187" i="20"/>
  <c r="L179" i="20"/>
  <c r="I179" i="20"/>
  <c r="J179" i="20" s="1"/>
  <c r="AY179" i="20" s="1"/>
  <c r="L163" i="20"/>
  <c r="I163" i="20"/>
  <c r="J163" i="20" s="1"/>
  <c r="AY163" i="20" s="1"/>
  <c r="L153" i="20"/>
  <c r="I153" i="20"/>
  <c r="J153" i="20" s="1"/>
  <c r="AY153" i="20" s="1"/>
  <c r="L145" i="20"/>
  <c r="I145" i="20"/>
  <c r="J145" i="20" s="1"/>
  <c r="AY145" i="20" s="1"/>
  <c r="L137" i="20"/>
  <c r="I137" i="20"/>
  <c r="J137" i="20" s="1"/>
  <c r="AY137" i="20" s="1"/>
  <c r="L129" i="20"/>
  <c r="I129" i="20"/>
  <c r="J129" i="20" s="1"/>
  <c r="AY129" i="20" s="1"/>
  <c r="I121" i="20"/>
  <c r="J121" i="20" s="1"/>
  <c r="AY121" i="20" s="1"/>
  <c r="L121" i="20"/>
  <c r="L113" i="20"/>
  <c r="I113" i="20"/>
  <c r="J113" i="20" s="1"/>
  <c r="AY113" i="20" s="1"/>
  <c r="I178" i="20"/>
  <c r="J178" i="20" s="1"/>
  <c r="AY178" i="20" s="1"/>
  <c r="L178" i="20"/>
  <c r="I170" i="20"/>
  <c r="J170" i="20" s="1"/>
  <c r="AY170" i="20" s="1"/>
  <c r="L170" i="20"/>
  <c r="I162" i="20"/>
  <c r="J162" i="20" s="1"/>
  <c r="AY162" i="20" s="1"/>
  <c r="L162" i="20"/>
  <c r="I154" i="20"/>
  <c r="J154" i="20" s="1"/>
  <c r="AY154" i="20" s="1"/>
  <c r="L154" i="20"/>
  <c r="L146" i="20"/>
  <c r="I146" i="20"/>
  <c r="J146" i="20" s="1"/>
  <c r="AY146" i="20" s="1"/>
  <c r="L138" i="20"/>
  <c r="I138" i="20"/>
  <c r="J138" i="20" s="1"/>
  <c r="AY138" i="20" s="1"/>
  <c r="L130" i="20"/>
  <c r="I130" i="20"/>
  <c r="J130" i="20" s="1"/>
  <c r="AY130" i="20" s="1"/>
  <c r="L122" i="20"/>
  <c r="I122" i="20"/>
  <c r="J122" i="20" s="1"/>
  <c r="AY122" i="20" s="1"/>
  <c r="I114" i="20"/>
  <c r="J114" i="20" s="1"/>
  <c r="AY114" i="20" s="1"/>
  <c r="L114" i="20"/>
  <c r="L9" i="20"/>
  <c r="I44" i="20"/>
  <c r="I46" i="20"/>
  <c r="I48" i="20"/>
  <c r="I50" i="20"/>
  <c r="I52" i="20"/>
  <c r="I54" i="20"/>
  <c r="I56" i="20"/>
  <c r="I58" i="20"/>
  <c r="I60" i="20"/>
  <c r="I62" i="20"/>
  <c r="I64" i="20"/>
  <c r="I66" i="20"/>
  <c r="I68" i="20"/>
  <c r="I70" i="20"/>
  <c r="I72" i="20"/>
  <c r="I74" i="20"/>
  <c r="I76" i="20"/>
  <c r="I78" i="20"/>
  <c r="I80" i="20"/>
  <c r="I82" i="20"/>
  <c r="I84" i="20"/>
  <c r="I86" i="20"/>
  <c r="I88" i="20"/>
  <c r="I90" i="20"/>
  <c r="I92" i="20"/>
  <c r="I94" i="20"/>
  <c r="I96" i="20"/>
  <c r="I98" i="20"/>
  <c r="I100" i="20"/>
  <c r="I102" i="20"/>
  <c r="I104" i="20"/>
  <c r="I106" i="20"/>
  <c r="I108" i="20"/>
  <c r="I10" i="20"/>
  <c r="I12" i="20"/>
  <c r="I14" i="20"/>
  <c r="I16" i="20"/>
  <c r="I18" i="20"/>
  <c r="I20" i="20"/>
  <c r="I22" i="20"/>
  <c r="J22" i="20" s="1"/>
  <c r="AY22" i="20" s="1"/>
  <c r="I24" i="20"/>
  <c r="I26" i="20"/>
  <c r="I28" i="20"/>
  <c r="I30" i="20"/>
  <c r="I32" i="20"/>
  <c r="I34" i="20"/>
  <c r="I36" i="20"/>
  <c r="I38" i="20"/>
  <c r="I40" i="20"/>
  <c r="I42" i="20"/>
  <c r="I43" i="20"/>
  <c r="I45" i="20"/>
  <c r="I47" i="20"/>
  <c r="I49" i="20"/>
  <c r="I51" i="20"/>
  <c r="I53" i="20"/>
  <c r="I55" i="20"/>
  <c r="I57" i="20"/>
  <c r="I59" i="20"/>
  <c r="I61" i="20"/>
  <c r="I63" i="20"/>
  <c r="I65" i="20"/>
  <c r="I67" i="20"/>
  <c r="I69" i="20"/>
  <c r="I71" i="20"/>
  <c r="I73" i="20"/>
  <c r="I75" i="20"/>
  <c r="I77" i="20"/>
  <c r="I79" i="20"/>
  <c r="I81" i="20"/>
  <c r="I83" i="20"/>
  <c r="I85" i="20"/>
  <c r="I87" i="20"/>
  <c r="I89" i="20"/>
  <c r="I91" i="20"/>
  <c r="I93" i="20"/>
  <c r="I95" i="20"/>
  <c r="I97" i="20"/>
  <c r="I99" i="20"/>
  <c r="I101" i="20"/>
  <c r="I103" i="20"/>
  <c r="I105" i="20"/>
  <c r="I107" i="20"/>
  <c r="I109" i="20"/>
  <c r="I11" i="20"/>
  <c r="I13" i="20"/>
  <c r="I15" i="20"/>
  <c r="I17" i="20"/>
  <c r="I19" i="20"/>
  <c r="I21" i="20"/>
  <c r="I23" i="20"/>
  <c r="I25" i="20"/>
  <c r="I27" i="20"/>
  <c r="I29" i="20"/>
  <c r="I31" i="20"/>
  <c r="I33" i="20"/>
  <c r="I35" i="20"/>
  <c r="I37" i="20"/>
  <c r="I39" i="20"/>
  <c r="I41" i="20"/>
  <c r="I9" i="20"/>
  <c r="J9" i="20" s="1"/>
  <c r="L19" i="20"/>
  <c r="L15" i="20"/>
  <c r="L11" i="20"/>
  <c r="L107" i="20"/>
  <c r="L103" i="20"/>
  <c r="L99" i="20"/>
  <c r="L95" i="20"/>
  <c r="L91" i="20"/>
  <c r="L87" i="20"/>
  <c r="L83" i="20"/>
  <c r="L79" i="20"/>
  <c r="L75" i="20"/>
  <c r="L71" i="20"/>
  <c r="L67" i="20"/>
  <c r="L63" i="20"/>
  <c r="L59" i="20"/>
  <c r="L55" i="20"/>
  <c r="L51" i="20"/>
  <c r="L47" i="20"/>
  <c r="L20" i="20"/>
  <c r="L16" i="20"/>
  <c r="L12" i="20"/>
  <c r="L108" i="20"/>
  <c r="L104" i="20"/>
  <c r="L100" i="20"/>
  <c r="L96" i="20"/>
  <c r="L92" i="20"/>
  <c r="L88" i="20"/>
  <c r="L84" i="20"/>
  <c r="L80" i="20"/>
  <c r="L76" i="20"/>
  <c r="L72" i="20"/>
  <c r="L68" i="20"/>
  <c r="L64" i="20"/>
  <c r="L60" i="20"/>
  <c r="L56" i="20"/>
  <c r="L52" i="20"/>
  <c r="L48" i="20"/>
  <c r="L41" i="20"/>
  <c r="L44" i="20"/>
  <c r="L40" i="20"/>
  <c r="L36" i="20"/>
  <c r="L32" i="20"/>
  <c r="L28" i="20"/>
  <c r="L24" i="20"/>
  <c r="L39" i="20"/>
  <c r="L35" i="20"/>
  <c r="L31" i="20"/>
  <c r="L27" i="20"/>
  <c r="L23" i="20"/>
  <c r="L17" i="20"/>
  <c r="L13" i="20"/>
  <c r="L109" i="20"/>
  <c r="L105" i="20"/>
  <c r="L101" i="20"/>
  <c r="L97" i="20"/>
  <c r="L93" i="20"/>
  <c r="L89" i="20"/>
  <c r="L85" i="20"/>
  <c r="L81" i="20"/>
  <c r="L77" i="20"/>
  <c r="L73" i="20"/>
  <c r="L69" i="20"/>
  <c r="L65" i="20"/>
  <c r="L61" i="20"/>
  <c r="L57" i="20"/>
  <c r="L53" i="20"/>
  <c r="L49" i="20"/>
  <c r="L43" i="20"/>
  <c r="L18" i="20"/>
  <c r="L14" i="20"/>
  <c r="L10" i="20"/>
  <c r="L106" i="20"/>
  <c r="L102" i="20"/>
  <c r="L98" i="20"/>
  <c r="L94" i="20"/>
  <c r="L90" i="20"/>
  <c r="L86" i="20"/>
  <c r="L82" i="20"/>
  <c r="L78" i="20"/>
  <c r="L74" i="20"/>
  <c r="L70" i="20"/>
  <c r="L66" i="20"/>
  <c r="L62" i="20"/>
  <c r="L58" i="20"/>
  <c r="L54" i="20"/>
  <c r="L50" i="20"/>
  <c r="L45" i="20"/>
  <c r="L46" i="20"/>
  <c r="L42" i="20"/>
  <c r="L38" i="20"/>
  <c r="L34" i="20"/>
  <c r="L30" i="20"/>
  <c r="L26" i="20"/>
  <c r="L22" i="20"/>
  <c r="L37" i="20"/>
  <c r="L33" i="20"/>
  <c r="L29" i="20"/>
  <c r="L25" i="20"/>
  <c r="L21" i="20"/>
  <c r="C66" i="16"/>
  <c r="D66" i="16" s="1"/>
  <c r="AW109" i="20"/>
  <c r="AW107" i="20"/>
  <c r="AW105" i="20"/>
  <c r="AW108" i="20"/>
  <c r="AW106" i="20"/>
  <c r="AW103" i="20"/>
  <c r="AW101" i="20"/>
  <c r="AW104" i="20"/>
  <c r="AW102" i="20"/>
  <c r="AW100" i="20"/>
  <c r="AW99" i="20"/>
  <c r="AW97" i="20"/>
  <c r="AW95" i="20"/>
  <c r="AW93" i="20"/>
  <c r="AW91" i="20"/>
  <c r="AW98" i="20"/>
  <c r="AW96" i="20"/>
  <c r="AW94" i="20"/>
  <c r="AW90" i="20"/>
  <c r="AW88" i="20"/>
  <c r="AW86" i="20"/>
  <c r="AW84" i="20"/>
  <c r="AW82" i="20"/>
  <c r="AW92" i="20"/>
  <c r="AW89" i="20"/>
  <c r="AW87" i="20"/>
  <c r="AW85" i="20"/>
  <c r="AW83" i="20"/>
  <c r="AW80" i="20"/>
  <c r="AW79" i="20"/>
  <c r="AW73" i="20"/>
  <c r="AW72" i="20"/>
  <c r="AW71" i="20"/>
  <c r="AW66" i="20"/>
  <c r="AW81" i="20"/>
  <c r="AW78" i="20"/>
  <c r="AW77" i="20"/>
  <c r="AW76" i="20"/>
  <c r="AW75" i="20"/>
  <c r="AW74" i="20"/>
  <c r="AW70" i="20"/>
  <c r="AW69" i="20"/>
  <c r="AW68" i="20"/>
  <c r="AW67" i="20"/>
  <c r="AW65" i="20"/>
  <c r="AW63" i="20"/>
  <c r="AW61" i="20"/>
  <c r="AW56" i="20"/>
  <c r="AW64" i="20"/>
  <c r="AW62" i="20"/>
  <c r="AW60" i="20"/>
  <c r="AW59" i="20"/>
  <c r="AW58" i="20"/>
  <c r="AW57" i="20"/>
  <c r="AW54" i="20"/>
  <c r="AW52" i="20"/>
  <c r="AW50" i="20"/>
  <c r="AW47" i="20"/>
  <c r="AW46" i="20"/>
  <c r="AW45" i="20"/>
  <c r="AW44" i="20"/>
  <c r="AW43" i="20"/>
  <c r="AW42" i="20"/>
  <c r="AW41" i="20"/>
  <c r="AW40" i="20"/>
  <c r="AW39" i="20"/>
  <c r="AW38" i="20"/>
  <c r="AW37" i="20"/>
  <c r="AW36" i="20"/>
  <c r="AW33" i="20"/>
  <c r="AW32" i="20"/>
  <c r="AW30" i="20"/>
  <c r="AW29" i="20"/>
  <c r="AW25" i="20"/>
  <c r="AW24" i="20"/>
  <c r="AW23" i="20"/>
  <c r="AW22" i="20"/>
  <c r="AW21" i="20"/>
  <c r="AW20" i="20"/>
  <c r="AW19" i="20"/>
  <c r="AW18" i="20"/>
  <c r="AW55" i="20"/>
  <c r="AW53" i="20"/>
  <c r="AW51" i="20"/>
  <c r="AW49" i="20"/>
  <c r="AW48" i="20"/>
  <c r="AW35" i="20"/>
  <c r="AW34" i="20"/>
  <c r="AW31" i="20"/>
  <c r="AW28" i="20"/>
  <c r="AW27" i="20"/>
  <c r="AW26" i="20"/>
  <c r="AW15" i="20"/>
  <c r="AW13" i="20"/>
  <c r="AW11" i="20"/>
  <c r="AW10" i="20"/>
  <c r="AW9" i="20"/>
  <c r="AW17" i="20"/>
  <c r="AW16" i="20"/>
  <c r="AW14" i="20"/>
  <c r="AW12" i="20"/>
  <c r="B73" i="20"/>
  <c r="B45" i="20"/>
  <c r="B72" i="20"/>
  <c r="D161" i="2"/>
  <c r="D128" i="2"/>
  <c r="D150" i="2"/>
  <c r="D133" i="2"/>
  <c r="B130" i="2"/>
  <c r="B407" i="2"/>
  <c r="B232" i="2"/>
  <c r="B408" i="2"/>
  <c r="A429" i="2"/>
  <c r="B303" i="2"/>
  <c r="B304" i="2"/>
  <c r="B246" i="2"/>
  <c r="B250" i="2" s="1"/>
  <c r="B249" i="2"/>
  <c r="B275" i="2"/>
  <c r="B273" i="2"/>
  <c r="B429" i="2"/>
  <c r="B260" i="2"/>
  <c r="E110" i="17"/>
  <c r="F13" i="17"/>
  <c r="F17" i="17"/>
  <c r="F21" i="17"/>
  <c r="F25" i="17"/>
  <c r="F29" i="17"/>
  <c r="F33" i="17"/>
  <c r="F37" i="17"/>
  <c r="F41" i="17"/>
  <c r="F45" i="17"/>
  <c r="F49" i="17"/>
  <c r="F53" i="17"/>
  <c r="F57" i="17"/>
  <c r="F61" i="17"/>
  <c r="F65" i="17"/>
  <c r="F69" i="17"/>
  <c r="F73" i="17"/>
  <c r="F77" i="17"/>
  <c r="F81" i="17"/>
  <c r="F85" i="17"/>
  <c r="F89" i="17"/>
  <c r="F93" i="17"/>
  <c r="F97" i="17"/>
  <c r="F101" i="17"/>
  <c r="F105" i="17"/>
  <c r="F109" i="17"/>
  <c r="E16" i="17"/>
  <c r="E20" i="17"/>
  <c r="E24" i="17"/>
  <c r="E28" i="17"/>
  <c r="E32" i="17"/>
  <c r="E36" i="17"/>
  <c r="E40" i="17"/>
  <c r="E44" i="17"/>
  <c r="E48" i="17"/>
  <c r="E52" i="17"/>
  <c r="E56" i="17"/>
  <c r="E60" i="17"/>
  <c r="E64" i="17"/>
  <c r="E68" i="17"/>
  <c r="E72" i="17"/>
  <c r="E76" i="17"/>
  <c r="E80" i="17"/>
  <c r="E84" i="17"/>
  <c r="E88" i="17"/>
  <c r="E92" i="17"/>
  <c r="E96" i="17"/>
  <c r="E100" i="17"/>
  <c r="E104" i="17"/>
  <c r="E108" i="17"/>
  <c r="C633" i="17"/>
  <c r="F612" i="17"/>
  <c r="F610" i="17"/>
  <c r="F608" i="17"/>
  <c r="F606" i="17"/>
  <c r="F604" i="17"/>
  <c r="F602" i="17"/>
  <c r="F600" i="17"/>
  <c r="F598" i="17"/>
  <c r="F596" i="17"/>
  <c r="F613" i="17"/>
  <c r="F611" i="17"/>
  <c r="F609" i="17"/>
  <c r="F607" i="17"/>
  <c r="F605" i="17"/>
  <c r="F603" i="17"/>
  <c r="F601" i="17"/>
  <c r="F599" i="17"/>
  <c r="F597" i="17"/>
  <c r="E595" i="17"/>
  <c r="E593" i="17"/>
  <c r="E591" i="17"/>
  <c r="E589" i="17"/>
  <c r="E587" i="17"/>
  <c r="E585" i="17"/>
  <c r="E583" i="17"/>
  <c r="E581" i="17"/>
  <c r="E579" i="17"/>
  <c r="E577" i="17"/>
  <c r="E575" i="17"/>
  <c r="E573" i="17"/>
  <c r="E571" i="17"/>
  <c r="E569" i="17"/>
  <c r="E567" i="17"/>
  <c r="E565" i="17"/>
  <c r="E563" i="17"/>
  <c r="E561" i="17"/>
  <c r="E559" i="17"/>
  <c r="E557" i="17"/>
  <c r="E555" i="17"/>
  <c r="E553" i="17"/>
  <c r="E551" i="17"/>
  <c r="E549" i="17"/>
  <c r="E547" i="17"/>
  <c r="E545" i="17"/>
  <c r="F595" i="17"/>
  <c r="E592" i="17"/>
  <c r="E588" i="17"/>
  <c r="E584" i="17"/>
  <c r="E580" i="17"/>
  <c r="E576" i="17"/>
  <c r="E572" i="17"/>
  <c r="E568" i="17"/>
  <c r="E564" i="17"/>
  <c r="E560" i="17"/>
  <c r="E556" i="17"/>
  <c r="E552" i="17"/>
  <c r="E548" i="17"/>
  <c r="E544" i="17"/>
  <c r="E542" i="17"/>
  <c r="E540" i="17"/>
  <c r="E538" i="17"/>
  <c r="E536" i="17"/>
  <c r="E534" i="17"/>
  <c r="E532" i="17"/>
  <c r="E530" i="17"/>
  <c r="E528" i="17"/>
  <c r="E526" i="17"/>
  <c r="E524" i="17"/>
  <c r="E522" i="17"/>
  <c r="F593" i="17"/>
  <c r="F589" i="17"/>
  <c r="F585" i="17"/>
  <c r="F581" i="17"/>
  <c r="F577" i="17"/>
  <c r="F573" i="17"/>
  <c r="F569" i="17"/>
  <c r="F565" i="17"/>
  <c r="F561" i="17"/>
  <c r="F557" i="17"/>
  <c r="F553" i="17"/>
  <c r="F549" i="17"/>
  <c r="F545" i="17"/>
  <c r="F542" i="17"/>
  <c r="F540" i="17"/>
  <c r="F538" i="17"/>
  <c r="F536" i="17"/>
  <c r="F534" i="17"/>
  <c r="F532" i="17"/>
  <c r="F530" i="17"/>
  <c r="F528" i="17"/>
  <c r="F526" i="17"/>
  <c r="F524" i="17"/>
  <c r="F522" i="17"/>
  <c r="F520" i="17"/>
  <c r="F519" i="17"/>
  <c r="E517" i="17"/>
  <c r="E515" i="17"/>
  <c r="E513" i="17"/>
  <c r="E511" i="17"/>
  <c r="E509" i="17"/>
  <c r="E507" i="17"/>
  <c r="E505" i="17"/>
  <c r="E503" i="17"/>
  <c r="E501" i="17"/>
  <c r="E499" i="17"/>
  <c r="E497" i="17"/>
  <c r="E495" i="17"/>
  <c r="E493" i="17"/>
  <c r="E491" i="17"/>
  <c r="E489" i="17"/>
  <c r="E487" i="17"/>
  <c r="E485" i="17"/>
  <c r="E483" i="17"/>
  <c r="E481" i="17"/>
  <c r="E479" i="17"/>
  <c r="E477" i="17"/>
  <c r="E475" i="17"/>
  <c r="E473" i="17"/>
  <c r="E471" i="17"/>
  <c r="E469" i="17"/>
  <c r="E467" i="17"/>
  <c r="E465" i="17"/>
  <c r="E463" i="17"/>
  <c r="E461" i="17"/>
  <c r="E459" i="17"/>
  <c r="E457" i="17"/>
  <c r="E455" i="17"/>
  <c r="E453" i="17"/>
  <c r="E451" i="17"/>
  <c r="E449" i="17"/>
  <c r="E447" i="17"/>
  <c r="E445" i="17"/>
  <c r="E443" i="17"/>
  <c r="E441" i="17"/>
  <c r="E439" i="17"/>
  <c r="E437" i="17"/>
  <c r="E435" i="17"/>
  <c r="E433" i="17"/>
  <c r="E431" i="17"/>
  <c r="E429" i="17"/>
  <c r="E427" i="17"/>
  <c r="E425" i="17"/>
  <c r="E423" i="17"/>
  <c r="E421" i="17"/>
  <c r="E419" i="17"/>
  <c r="E520" i="17"/>
  <c r="F517" i="17"/>
  <c r="F515" i="17"/>
  <c r="F513" i="17"/>
  <c r="F511" i="17"/>
  <c r="F509" i="17"/>
  <c r="F507" i="17"/>
  <c r="F505" i="17"/>
  <c r="F503" i="17"/>
  <c r="F501" i="17"/>
  <c r="F499" i="17"/>
  <c r="F497" i="17"/>
  <c r="F495" i="17"/>
  <c r="F493" i="17"/>
  <c r="F491" i="17"/>
  <c r="F489" i="17"/>
  <c r="F487" i="17"/>
  <c r="F485" i="17"/>
  <c r="F483" i="17"/>
  <c r="F481" i="17"/>
  <c r="F479" i="17"/>
  <c r="F477" i="17"/>
  <c r="F475" i="17"/>
  <c r="F473" i="17"/>
  <c r="F471" i="17"/>
  <c r="F469" i="17"/>
  <c r="F467" i="17"/>
  <c r="F465" i="17"/>
  <c r="F463" i="17"/>
  <c r="F461" i="17"/>
  <c r="F459" i="17"/>
  <c r="F457" i="17"/>
  <c r="F455" i="17"/>
  <c r="F453" i="17"/>
  <c r="F451" i="17"/>
  <c r="F449" i="17"/>
  <c r="F447" i="17"/>
  <c r="F445" i="17"/>
  <c r="F443" i="17"/>
  <c r="F441" i="17"/>
  <c r="F439" i="17"/>
  <c r="F437" i="17"/>
  <c r="F435" i="17"/>
  <c r="F433" i="17"/>
  <c r="F431" i="17"/>
  <c r="F429" i="17"/>
  <c r="F427" i="17"/>
  <c r="F425" i="17"/>
  <c r="F423" i="17"/>
  <c r="F421" i="17"/>
  <c r="F419" i="17"/>
  <c r="F417" i="17"/>
  <c r="F415" i="17"/>
  <c r="F413" i="17"/>
  <c r="F411" i="17"/>
  <c r="F409" i="17"/>
  <c r="F407" i="17"/>
  <c r="F405" i="17"/>
  <c r="F403" i="17"/>
  <c r="F401" i="17"/>
  <c r="F399" i="17"/>
  <c r="F15" i="17"/>
  <c r="F19" i="17"/>
  <c r="F23" i="17"/>
  <c r="F27" i="17"/>
  <c r="F31" i="17"/>
  <c r="F35" i="17"/>
  <c r="F39" i="17"/>
  <c r="F43" i="17"/>
  <c r="F47" i="17"/>
  <c r="F51" i="17"/>
  <c r="F55" i="17"/>
  <c r="F59" i="17"/>
  <c r="F63" i="17"/>
  <c r="F67" i="17"/>
  <c r="F71" i="17"/>
  <c r="F75" i="17"/>
  <c r="F79" i="17"/>
  <c r="F83" i="17"/>
  <c r="F87" i="17"/>
  <c r="F91" i="17"/>
  <c r="F95" i="17"/>
  <c r="F99" i="17"/>
  <c r="F103" i="17"/>
  <c r="F107" i="17"/>
  <c r="E14" i="17"/>
  <c r="E18" i="17"/>
  <c r="E22" i="17"/>
  <c r="E26" i="17"/>
  <c r="E30" i="17"/>
  <c r="E34" i="17"/>
  <c r="E38" i="17"/>
  <c r="E42" i="17"/>
  <c r="E46" i="17"/>
  <c r="E50" i="17"/>
  <c r="E54" i="17"/>
  <c r="E58" i="17"/>
  <c r="E62" i="17"/>
  <c r="E66" i="17"/>
  <c r="E70" i="17"/>
  <c r="E74" i="17"/>
  <c r="E78" i="17"/>
  <c r="E82" i="17"/>
  <c r="E86" i="17"/>
  <c r="E90" i="17"/>
  <c r="E94" i="17"/>
  <c r="E98" i="17"/>
  <c r="E102" i="17"/>
  <c r="E106" i="17"/>
  <c r="E613" i="17"/>
  <c r="E611" i="17"/>
  <c r="E609" i="17"/>
  <c r="E607" i="17"/>
  <c r="E605" i="17"/>
  <c r="E603" i="17"/>
  <c r="E601" i="17"/>
  <c r="E599" i="17"/>
  <c r="E597" i="17"/>
  <c r="A623" i="17"/>
  <c r="E612" i="17"/>
  <c r="E610" i="17"/>
  <c r="E608" i="17"/>
  <c r="E606" i="17"/>
  <c r="E604" i="17"/>
  <c r="E602" i="17"/>
  <c r="E600" i="17"/>
  <c r="E598" i="17"/>
  <c r="E596" i="17"/>
  <c r="F594" i="17"/>
  <c r="F592" i="17"/>
  <c r="F590" i="17"/>
  <c r="F588" i="17"/>
  <c r="F586" i="17"/>
  <c r="F584" i="17"/>
  <c r="F582" i="17"/>
  <c r="F580" i="17"/>
  <c r="F578" i="17"/>
  <c r="F576" i="17"/>
  <c r="F574" i="17"/>
  <c r="F572" i="17"/>
  <c r="F570" i="17"/>
  <c r="F568" i="17"/>
  <c r="F566" i="17"/>
  <c r="F564" i="17"/>
  <c r="F562" i="17"/>
  <c r="F560" i="17"/>
  <c r="F558" i="17"/>
  <c r="F556" i="17"/>
  <c r="F554" i="17"/>
  <c r="F552" i="17"/>
  <c r="F550" i="17"/>
  <c r="F548" i="17"/>
  <c r="F546" i="17"/>
  <c r="F544" i="17"/>
  <c r="E594" i="17"/>
  <c r="E590" i="17"/>
  <c r="E586" i="17"/>
  <c r="E582" i="17"/>
  <c r="E578" i="17"/>
  <c r="E574" i="17"/>
  <c r="E570" i="17"/>
  <c r="E566" i="17"/>
  <c r="E562" i="17"/>
  <c r="E558" i="17"/>
  <c r="E554" i="17"/>
  <c r="E550" i="17"/>
  <c r="E546" i="17"/>
  <c r="F543" i="17"/>
  <c r="F541" i="17"/>
  <c r="F539" i="17"/>
  <c r="F537" i="17"/>
  <c r="F535" i="17"/>
  <c r="F533" i="17"/>
  <c r="F531" i="17"/>
  <c r="F529" i="17"/>
  <c r="F527" i="17"/>
  <c r="F525" i="17"/>
  <c r="F523" i="17"/>
  <c r="F521" i="17"/>
  <c r="F591" i="17"/>
  <c r="F587" i="17"/>
  <c r="F583" i="17"/>
  <c r="F579" i="17"/>
  <c r="F575" i="17"/>
  <c r="F571" i="17"/>
  <c r="F567" i="17"/>
  <c r="F563" i="17"/>
  <c r="F559" i="17"/>
  <c r="F555" i="17"/>
  <c r="F551" i="17"/>
  <c r="F547" i="17"/>
  <c r="E543" i="17"/>
  <c r="E541" i="17"/>
  <c r="E539" i="17"/>
  <c r="E537" i="17"/>
  <c r="E535" i="17"/>
  <c r="E533" i="17"/>
  <c r="E531" i="17"/>
  <c r="E529" i="17"/>
  <c r="E527" i="17"/>
  <c r="E525" i="17"/>
  <c r="E523" i="17"/>
  <c r="E521" i="17"/>
  <c r="E519" i="17"/>
  <c r="F518" i="17"/>
  <c r="F516" i="17"/>
  <c r="F514" i="17"/>
  <c r="F512" i="17"/>
  <c r="F510" i="17"/>
  <c r="F508" i="17"/>
  <c r="F506" i="17"/>
  <c r="F504" i="17"/>
  <c r="F502" i="17"/>
  <c r="F500" i="17"/>
  <c r="F498" i="17"/>
  <c r="F496" i="17"/>
  <c r="F494" i="17"/>
  <c r="F492" i="17"/>
  <c r="F490" i="17"/>
  <c r="F488" i="17"/>
  <c r="F486" i="17"/>
  <c r="F484" i="17"/>
  <c r="F482" i="17"/>
  <c r="F480" i="17"/>
  <c r="F478" i="17"/>
  <c r="F476" i="17"/>
  <c r="F474" i="17"/>
  <c r="F472" i="17"/>
  <c r="F470" i="17"/>
  <c r="F468" i="17"/>
  <c r="F466" i="17"/>
  <c r="F464" i="17"/>
  <c r="F462" i="17"/>
  <c r="F460" i="17"/>
  <c r="F458" i="17"/>
  <c r="F456" i="17"/>
  <c r="F454" i="17"/>
  <c r="F452" i="17"/>
  <c r="F450" i="17"/>
  <c r="F448" i="17"/>
  <c r="F446" i="17"/>
  <c r="F444" i="17"/>
  <c r="F442" i="17"/>
  <c r="F440" i="17"/>
  <c r="F438" i="17"/>
  <c r="F436" i="17"/>
  <c r="F434" i="17"/>
  <c r="F432" i="17"/>
  <c r="F430" i="17"/>
  <c r="F428" i="17"/>
  <c r="F426" i="17"/>
  <c r="F424" i="17"/>
  <c r="F422" i="17"/>
  <c r="F420" i="17"/>
  <c r="F418" i="17"/>
  <c r="E518" i="17"/>
  <c r="E516" i="17"/>
  <c r="E514" i="17"/>
  <c r="E512" i="17"/>
  <c r="E510" i="17"/>
  <c r="E508" i="17"/>
  <c r="E506" i="17"/>
  <c r="E504" i="17"/>
  <c r="E502" i="17"/>
  <c r="E500" i="17"/>
  <c r="E498" i="17"/>
  <c r="E496" i="17"/>
  <c r="E494" i="17"/>
  <c r="E492" i="17"/>
  <c r="E490" i="17"/>
  <c r="E488" i="17"/>
  <c r="E486" i="17"/>
  <c r="E484" i="17"/>
  <c r="E482" i="17"/>
  <c r="E480" i="17"/>
  <c r="E478" i="17"/>
  <c r="E476" i="17"/>
  <c r="E474" i="17"/>
  <c r="E472" i="17"/>
  <c r="E470" i="17"/>
  <c r="E468" i="17"/>
  <c r="E466" i="17"/>
  <c r="E464" i="17"/>
  <c r="E462" i="17"/>
  <c r="E460" i="17"/>
  <c r="E458" i="17"/>
  <c r="E456" i="17"/>
  <c r="E454" i="17"/>
  <c r="E452" i="17"/>
  <c r="E450" i="17"/>
  <c r="E448" i="17"/>
  <c r="E446" i="17"/>
  <c r="E444" i="17"/>
  <c r="E442" i="17"/>
  <c r="E440" i="17"/>
  <c r="E438" i="17"/>
  <c r="E436" i="17"/>
  <c r="E434" i="17"/>
  <c r="E432" i="17"/>
  <c r="E430" i="17"/>
  <c r="E428" i="17"/>
  <c r="E426" i="17"/>
  <c r="E424" i="17"/>
  <c r="E422" i="17"/>
  <c r="E420" i="17"/>
  <c r="E418" i="17"/>
  <c r="E416" i="17"/>
  <c r="E414" i="17"/>
  <c r="E412" i="17"/>
  <c r="E410" i="17"/>
  <c r="E408" i="17"/>
  <c r="E406" i="17"/>
  <c r="E404" i="17"/>
  <c r="E402" i="17"/>
  <c r="E400" i="17"/>
  <c r="E398" i="17"/>
  <c r="E396" i="17"/>
  <c r="E394" i="17"/>
  <c r="E392" i="17"/>
  <c r="E390" i="17"/>
  <c r="E388" i="17"/>
  <c r="E386" i="17"/>
  <c r="E384" i="17"/>
  <c r="E382" i="17"/>
  <c r="E380" i="17"/>
  <c r="E378" i="17"/>
  <c r="E376" i="17"/>
  <c r="E374" i="17"/>
  <c r="E372" i="17"/>
  <c r="E370" i="17"/>
  <c r="E368" i="17"/>
  <c r="E366" i="17"/>
  <c r="E364" i="17"/>
  <c r="E362" i="17"/>
  <c r="E360" i="17"/>
  <c r="E358" i="17"/>
  <c r="E356" i="17"/>
  <c r="E354" i="17"/>
  <c r="E352" i="17"/>
  <c r="E350" i="17"/>
  <c r="E348" i="17"/>
  <c r="E346" i="17"/>
  <c r="E344" i="17"/>
  <c r="E342" i="17"/>
  <c r="E340" i="17"/>
  <c r="E338" i="17"/>
  <c r="E336" i="17"/>
  <c r="E334" i="17"/>
  <c r="E332" i="17"/>
  <c r="E330" i="17"/>
  <c r="E328" i="17"/>
  <c r="E326" i="17"/>
  <c r="E324" i="17"/>
  <c r="E322" i="17"/>
  <c r="E320" i="17"/>
  <c r="E318" i="17"/>
  <c r="E316" i="17"/>
  <c r="E417" i="17"/>
  <c r="E415" i="17"/>
  <c r="E413" i="17"/>
  <c r="E411" i="17"/>
  <c r="E409" i="17"/>
  <c r="E407" i="17"/>
  <c r="E405" i="17"/>
  <c r="E403" i="17"/>
  <c r="E401" i="17"/>
  <c r="E399" i="17"/>
  <c r="E397" i="17"/>
  <c r="E395" i="17"/>
  <c r="E393" i="17"/>
  <c r="E391" i="17"/>
  <c r="E389" i="17"/>
  <c r="E387" i="17"/>
  <c r="E385" i="17"/>
  <c r="E383" i="17"/>
  <c r="E381" i="17"/>
  <c r="E379" i="17"/>
  <c r="E377" i="17"/>
  <c r="E375" i="17"/>
  <c r="E373" i="17"/>
  <c r="E371" i="17"/>
  <c r="E369" i="17"/>
  <c r="E367" i="17"/>
  <c r="E365" i="17"/>
  <c r="E363" i="17"/>
  <c r="E361" i="17"/>
  <c r="E359" i="17"/>
  <c r="E357" i="17"/>
  <c r="E355" i="17"/>
  <c r="E353" i="17"/>
  <c r="E351" i="17"/>
  <c r="E349" i="17"/>
  <c r="E347" i="17"/>
  <c r="E345" i="17"/>
  <c r="E343" i="17"/>
  <c r="E341" i="17"/>
  <c r="E339" i="17"/>
  <c r="E337" i="17"/>
  <c r="E335" i="17"/>
  <c r="E333" i="17"/>
  <c r="E331" i="17"/>
  <c r="E329" i="17"/>
  <c r="E327" i="17"/>
  <c r="E325" i="17"/>
  <c r="E323" i="17"/>
  <c r="E321" i="17"/>
  <c r="E319" i="17"/>
  <c r="E317" i="17"/>
  <c r="E315" i="17"/>
  <c r="F313" i="17"/>
  <c r="F311" i="17"/>
  <c r="F309" i="17"/>
  <c r="F307" i="17"/>
  <c r="F305" i="17"/>
  <c r="F303" i="17"/>
  <c r="F301" i="17"/>
  <c r="F299" i="17"/>
  <c r="F297" i="17"/>
  <c r="F295" i="17"/>
  <c r="F293" i="17"/>
  <c r="F291" i="17"/>
  <c r="F289" i="17"/>
  <c r="F287" i="17"/>
  <c r="F285" i="17"/>
  <c r="F283" i="17"/>
  <c r="F281" i="17"/>
  <c r="F279" i="17"/>
  <c r="F277" i="17"/>
  <c r="F275" i="17"/>
  <c r="F273" i="17"/>
  <c r="F271" i="17"/>
  <c r="F269" i="17"/>
  <c r="F267" i="17"/>
  <c r="F265" i="17"/>
  <c r="F263" i="17"/>
  <c r="F261" i="17"/>
  <c r="F259" i="17"/>
  <c r="F257" i="17"/>
  <c r="F255" i="17"/>
  <c r="F253" i="17"/>
  <c r="F251" i="17"/>
  <c r="F249" i="17"/>
  <c r="F247" i="17"/>
  <c r="F245" i="17"/>
  <c r="F243" i="17"/>
  <c r="F241" i="17"/>
  <c r="F239" i="17"/>
  <c r="F237" i="17"/>
  <c r="F235" i="17"/>
  <c r="F233" i="17"/>
  <c r="F231" i="17"/>
  <c r="F229" i="17"/>
  <c r="F227" i="17"/>
  <c r="F225" i="17"/>
  <c r="F223" i="17"/>
  <c r="F221" i="17"/>
  <c r="F219" i="17"/>
  <c r="F217" i="17"/>
  <c r="F215" i="17"/>
  <c r="F213" i="17"/>
  <c r="F211" i="17"/>
  <c r="F209" i="17"/>
  <c r="F207" i="17"/>
  <c r="F205" i="17"/>
  <c r="F203" i="17"/>
  <c r="F201" i="17"/>
  <c r="F199" i="17"/>
  <c r="F197" i="17"/>
  <c r="F195" i="17"/>
  <c r="F193" i="17"/>
  <c r="F191" i="17"/>
  <c r="F189" i="17"/>
  <c r="F187" i="17"/>
  <c r="F185" i="17"/>
  <c r="F183" i="17"/>
  <c r="F181" i="17"/>
  <c r="F179" i="17"/>
  <c r="F177" i="17"/>
  <c r="F175" i="17"/>
  <c r="F173" i="17"/>
  <c r="F171" i="17"/>
  <c r="F169" i="17"/>
  <c r="F167" i="17"/>
  <c r="F165" i="17"/>
  <c r="F163" i="17"/>
  <c r="F161" i="17"/>
  <c r="F159" i="17"/>
  <c r="F157" i="17"/>
  <c r="F155" i="17"/>
  <c r="F153" i="17"/>
  <c r="F151" i="17"/>
  <c r="F149" i="17"/>
  <c r="F147" i="17"/>
  <c r="F145" i="17"/>
  <c r="F143" i="17"/>
  <c r="F141" i="17"/>
  <c r="F139" i="17"/>
  <c r="F137" i="17"/>
  <c r="F135" i="17"/>
  <c r="F133" i="17"/>
  <c r="F131" i="17"/>
  <c r="F129" i="17"/>
  <c r="F127" i="17"/>
  <c r="F125" i="17"/>
  <c r="F123" i="17"/>
  <c r="F121" i="17"/>
  <c r="F119" i="17"/>
  <c r="F117" i="17"/>
  <c r="F115" i="17"/>
  <c r="F113" i="17"/>
  <c r="F111" i="17"/>
  <c r="E313" i="17"/>
  <c r="E311" i="17"/>
  <c r="E309" i="17"/>
  <c r="E307" i="17"/>
  <c r="E305" i="17"/>
  <c r="E303" i="17"/>
  <c r="E301" i="17"/>
  <c r="E299" i="17"/>
  <c r="E297" i="17"/>
  <c r="E295" i="17"/>
  <c r="E293" i="17"/>
  <c r="E291" i="17"/>
  <c r="E289" i="17"/>
  <c r="E287" i="17"/>
  <c r="E285" i="17"/>
  <c r="E283" i="17"/>
  <c r="E281" i="17"/>
  <c r="F397" i="17"/>
  <c r="F395" i="17"/>
  <c r="F393" i="17"/>
  <c r="F391" i="17"/>
  <c r="F389" i="17"/>
  <c r="F387" i="17"/>
  <c r="F385" i="17"/>
  <c r="F383" i="17"/>
  <c r="F381" i="17"/>
  <c r="F379" i="17"/>
  <c r="F377" i="17"/>
  <c r="F375" i="17"/>
  <c r="F373" i="17"/>
  <c r="F371" i="17"/>
  <c r="F369" i="17"/>
  <c r="F367" i="17"/>
  <c r="F365" i="17"/>
  <c r="F363" i="17"/>
  <c r="F361" i="17"/>
  <c r="F359" i="17"/>
  <c r="F357" i="17"/>
  <c r="F355" i="17"/>
  <c r="F353" i="17"/>
  <c r="F351" i="17"/>
  <c r="F349" i="17"/>
  <c r="F347" i="17"/>
  <c r="F345" i="17"/>
  <c r="F343" i="17"/>
  <c r="F341" i="17"/>
  <c r="F339" i="17"/>
  <c r="F337" i="17"/>
  <c r="F335" i="17"/>
  <c r="F333" i="17"/>
  <c r="F331" i="17"/>
  <c r="F329" i="17"/>
  <c r="F327" i="17"/>
  <c r="F325" i="17"/>
  <c r="F323" i="17"/>
  <c r="F321" i="17"/>
  <c r="F319" i="17"/>
  <c r="F317" i="17"/>
  <c r="F315" i="17"/>
  <c r="F416" i="17"/>
  <c r="F414" i="17"/>
  <c r="F412" i="17"/>
  <c r="F410" i="17"/>
  <c r="F408" i="17"/>
  <c r="F406" i="17"/>
  <c r="F404" i="17"/>
  <c r="F402" i="17"/>
  <c r="F400" i="17"/>
  <c r="F398" i="17"/>
  <c r="F396" i="17"/>
  <c r="F394" i="17"/>
  <c r="F392" i="17"/>
  <c r="F390" i="17"/>
  <c r="F388" i="17"/>
  <c r="F386" i="17"/>
  <c r="F384" i="17"/>
  <c r="F382" i="17"/>
  <c r="F380" i="17"/>
  <c r="F378" i="17"/>
  <c r="F376" i="17"/>
  <c r="F374" i="17"/>
  <c r="F372" i="17"/>
  <c r="F370" i="17"/>
  <c r="F368" i="17"/>
  <c r="F366" i="17"/>
  <c r="F364" i="17"/>
  <c r="F362" i="17"/>
  <c r="F360" i="17"/>
  <c r="F358" i="17"/>
  <c r="F356" i="17"/>
  <c r="F354" i="17"/>
  <c r="F352" i="17"/>
  <c r="F350" i="17"/>
  <c r="F348" i="17"/>
  <c r="F346" i="17"/>
  <c r="F344" i="17"/>
  <c r="F342" i="17"/>
  <c r="F340" i="17"/>
  <c r="F338" i="17"/>
  <c r="F336" i="17"/>
  <c r="F334" i="17"/>
  <c r="F332" i="17"/>
  <c r="F330" i="17"/>
  <c r="F328" i="17"/>
  <c r="F326" i="17"/>
  <c r="F324" i="17"/>
  <c r="F322" i="17"/>
  <c r="F320" i="17"/>
  <c r="F318" i="17"/>
  <c r="F316" i="17"/>
  <c r="E314" i="17"/>
  <c r="E312" i="17"/>
  <c r="E310" i="17"/>
  <c r="E308" i="17"/>
  <c r="E306" i="17"/>
  <c r="E304" i="17"/>
  <c r="E302" i="17"/>
  <c r="E300" i="17"/>
  <c r="E298" i="17"/>
  <c r="E296" i="17"/>
  <c r="E294" i="17"/>
  <c r="E292" i="17"/>
  <c r="E290" i="17"/>
  <c r="E288" i="17"/>
  <c r="E286" i="17"/>
  <c r="E284" i="17"/>
  <c r="E282" i="17"/>
  <c r="E280" i="17"/>
  <c r="E278" i="17"/>
  <c r="E276" i="17"/>
  <c r="E274" i="17"/>
  <c r="E272" i="17"/>
  <c r="E270" i="17"/>
  <c r="E268" i="17"/>
  <c r="E266" i="17"/>
  <c r="E264" i="17"/>
  <c r="E262" i="17"/>
  <c r="E260" i="17"/>
  <c r="E258" i="17"/>
  <c r="E256" i="17"/>
  <c r="E254" i="17"/>
  <c r="E252" i="17"/>
  <c r="E250" i="17"/>
  <c r="E248" i="17"/>
  <c r="E246" i="17"/>
  <c r="E244" i="17"/>
  <c r="E242" i="17"/>
  <c r="E240" i="17"/>
  <c r="E238" i="17"/>
  <c r="E236" i="17"/>
  <c r="E234" i="17"/>
  <c r="E232" i="17"/>
  <c r="E230" i="17"/>
  <c r="E228" i="17"/>
  <c r="E226" i="17"/>
  <c r="E224" i="17"/>
  <c r="E222" i="17"/>
  <c r="E220" i="17"/>
  <c r="E218" i="17"/>
  <c r="E216" i="17"/>
  <c r="E214" i="17"/>
  <c r="E212" i="17"/>
  <c r="E210" i="17"/>
  <c r="E208" i="17"/>
  <c r="E206" i="17"/>
  <c r="E204" i="17"/>
  <c r="E202" i="17"/>
  <c r="E200" i="17"/>
  <c r="E198" i="17"/>
  <c r="E196" i="17"/>
  <c r="E194" i="17"/>
  <c r="E192" i="17"/>
  <c r="E190" i="17"/>
  <c r="E188" i="17"/>
  <c r="E186" i="17"/>
  <c r="E184" i="17"/>
  <c r="E182" i="17"/>
  <c r="E180" i="17"/>
  <c r="E178" i="17"/>
  <c r="E176" i="17"/>
  <c r="E174" i="17"/>
  <c r="E172" i="17"/>
  <c r="E170" i="17"/>
  <c r="E168" i="17"/>
  <c r="E166" i="17"/>
  <c r="E164" i="17"/>
  <c r="E162" i="17"/>
  <c r="E160" i="17"/>
  <c r="E158" i="17"/>
  <c r="E156" i="17"/>
  <c r="E154" i="17"/>
  <c r="E152" i="17"/>
  <c r="E150" i="17"/>
  <c r="E148" i="17"/>
  <c r="E146" i="17"/>
  <c r="E144" i="17"/>
  <c r="E142" i="17"/>
  <c r="E140" i="17"/>
  <c r="E138" i="17"/>
  <c r="E136" i="17"/>
  <c r="E134" i="17"/>
  <c r="E132" i="17"/>
  <c r="E130" i="17"/>
  <c r="E128" i="17"/>
  <c r="E126" i="17"/>
  <c r="E124" i="17"/>
  <c r="E122" i="17"/>
  <c r="E120" i="17"/>
  <c r="E118" i="17"/>
  <c r="E116" i="17"/>
  <c r="E114" i="17"/>
  <c r="E112" i="17"/>
  <c r="F314" i="17"/>
  <c r="F312" i="17"/>
  <c r="F310" i="17"/>
  <c r="F308" i="17"/>
  <c r="F306" i="17"/>
  <c r="F304" i="17"/>
  <c r="F302" i="17"/>
  <c r="F300" i="17"/>
  <c r="F298" i="17"/>
  <c r="F296" i="17"/>
  <c r="F294" i="17"/>
  <c r="F292" i="17"/>
  <c r="F290" i="17"/>
  <c r="F288" i="17"/>
  <c r="F286" i="17"/>
  <c r="F284" i="17"/>
  <c r="F282" i="17"/>
  <c r="F280" i="17"/>
  <c r="F278" i="17"/>
  <c r="F276" i="17"/>
  <c r="F274" i="17"/>
  <c r="F272" i="17"/>
  <c r="F270" i="17"/>
  <c r="F268" i="17"/>
  <c r="F266" i="17"/>
  <c r="F264" i="17"/>
  <c r="F262" i="17"/>
  <c r="F260" i="17"/>
  <c r="F258" i="17"/>
  <c r="F256" i="17"/>
  <c r="F254" i="17"/>
  <c r="F252" i="17"/>
  <c r="F250" i="17"/>
  <c r="F248" i="17"/>
  <c r="F246" i="17"/>
  <c r="F244" i="17"/>
  <c r="F242" i="17"/>
  <c r="F240" i="17"/>
  <c r="F238" i="17"/>
  <c r="F236" i="17"/>
  <c r="F234" i="17"/>
  <c r="F232" i="17"/>
  <c r="F230" i="17"/>
  <c r="F228" i="17"/>
  <c r="F226" i="17"/>
  <c r="F224" i="17"/>
  <c r="F222" i="17"/>
  <c r="F220" i="17"/>
  <c r="F218" i="17"/>
  <c r="F216" i="17"/>
  <c r="F214" i="17"/>
  <c r="F212" i="17"/>
  <c r="F210" i="17"/>
  <c r="F208" i="17"/>
  <c r="F206" i="17"/>
  <c r="F204" i="17"/>
  <c r="F202" i="17"/>
  <c r="F200" i="17"/>
  <c r="F198" i="17"/>
  <c r="F196" i="17"/>
  <c r="F194" i="17"/>
  <c r="E277" i="17"/>
  <c r="E273" i="17"/>
  <c r="E269" i="17"/>
  <c r="E265" i="17"/>
  <c r="E261" i="17"/>
  <c r="E257" i="17"/>
  <c r="E253" i="17"/>
  <c r="E249" i="17"/>
  <c r="E245" i="17"/>
  <c r="E241" i="17"/>
  <c r="E237" i="17"/>
  <c r="E233" i="17"/>
  <c r="E229" i="17"/>
  <c r="E225" i="17"/>
  <c r="E221" i="17"/>
  <c r="E217" i="17"/>
  <c r="E213" i="17"/>
  <c r="E209" i="17"/>
  <c r="E205" i="17"/>
  <c r="E201" i="17"/>
  <c r="E197" i="17"/>
  <c r="E193" i="17"/>
  <c r="E191" i="17"/>
  <c r="E189" i="17"/>
  <c r="E187" i="17"/>
  <c r="E185" i="17"/>
  <c r="E183" i="17"/>
  <c r="E181" i="17"/>
  <c r="E179" i="17"/>
  <c r="E177" i="17"/>
  <c r="E175" i="17"/>
  <c r="E173" i="17"/>
  <c r="E171" i="17"/>
  <c r="E169" i="17"/>
  <c r="E167" i="17"/>
  <c r="E165" i="17"/>
  <c r="E163" i="17"/>
  <c r="E161" i="17"/>
  <c r="E159" i="17"/>
  <c r="E157" i="17"/>
  <c r="E155" i="17"/>
  <c r="E153" i="17"/>
  <c r="E151" i="17"/>
  <c r="E149" i="17"/>
  <c r="E147" i="17"/>
  <c r="E145" i="17"/>
  <c r="E143" i="17"/>
  <c r="E141" i="17"/>
  <c r="E139" i="17"/>
  <c r="E137" i="17"/>
  <c r="E135" i="17"/>
  <c r="E133" i="17"/>
  <c r="E131" i="17"/>
  <c r="E129" i="17"/>
  <c r="E127" i="17"/>
  <c r="E125" i="17"/>
  <c r="E123" i="17"/>
  <c r="E121" i="17"/>
  <c r="E119" i="17"/>
  <c r="E117" i="17"/>
  <c r="E115" i="17"/>
  <c r="E113" i="17"/>
  <c r="E111" i="17"/>
  <c r="E279" i="17"/>
  <c r="E275" i="17"/>
  <c r="E271" i="17"/>
  <c r="E267" i="17"/>
  <c r="E263" i="17"/>
  <c r="E259" i="17"/>
  <c r="E255" i="17"/>
  <c r="E251" i="17"/>
  <c r="E247" i="17"/>
  <c r="E243" i="17"/>
  <c r="E239" i="17"/>
  <c r="E235" i="17"/>
  <c r="E231" i="17"/>
  <c r="E227" i="17"/>
  <c r="E223" i="17"/>
  <c r="E219" i="17"/>
  <c r="E215" i="17"/>
  <c r="E211" i="17"/>
  <c r="E207" i="17"/>
  <c r="E203" i="17"/>
  <c r="E199" i="17"/>
  <c r="E195" i="17"/>
  <c r="F192" i="17"/>
  <c r="F190" i="17"/>
  <c r="F188" i="17"/>
  <c r="F186" i="17"/>
  <c r="F184" i="17"/>
  <c r="F182" i="17"/>
  <c r="F180" i="17"/>
  <c r="F178" i="17"/>
  <c r="F176" i="17"/>
  <c r="F174" i="17"/>
  <c r="F172" i="17"/>
  <c r="F170" i="17"/>
  <c r="F168" i="17"/>
  <c r="F166" i="17"/>
  <c r="F164" i="17"/>
  <c r="F162" i="17"/>
  <c r="F160" i="17"/>
  <c r="F158" i="17"/>
  <c r="F156" i="17"/>
  <c r="F154" i="17"/>
  <c r="F152" i="17"/>
  <c r="F150" i="17"/>
  <c r="F148" i="17"/>
  <c r="F146" i="17"/>
  <c r="F144" i="17"/>
  <c r="F142" i="17"/>
  <c r="F140" i="17"/>
  <c r="F138" i="17"/>
  <c r="F136" i="17"/>
  <c r="F134" i="17"/>
  <c r="F132" i="17"/>
  <c r="F130" i="17"/>
  <c r="F128" i="17"/>
  <c r="F126" i="17"/>
  <c r="F124" i="17"/>
  <c r="F122" i="17"/>
  <c r="F120" i="17"/>
  <c r="F118" i="17"/>
  <c r="F116" i="17"/>
  <c r="F114" i="17"/>
  <c r="F112" i="17"/>
  <c r="F110" i="17"/>
  <c r="E13" i="17"/>
  <c r="F14" i="17"/>
  <c r="E15" i="17"/>
  <c r="F16" i="17"/>
  <c r="E17" i="17"/>
  <c r="F18" i="17"/>
  <c r="E19" i="17"/>
  <c r="F20" i="17"/>
  <c r="E21" i="17"/>
  <c r="F22" i="17"/>
  <c r="E23" i="17"/>
  <c r="F24" i="17"/>
  <c r="E25" i="17"/>
  <c r="F26" i="17"/>
  <c r="E27" i="17"/>
  <c r="F28" i="17"/>
  <c r="E29" i="17"/>
  <c r="F30" i="17"/>
  <c r="E31" i="17"/>
  <c r="F32" i="17"/>
  <c r="E33" i="17"/>
  <c r="F34" i="17"/>
  <c r="E35" i="17"/>
  <c r="F36" i="17"/>
  <c r="E37" i="17"/>
  <c r="F38" i="17"/>
  <c r="E39" i="17"/>
  <c r="F40" i="17"/>
  <c r="E41" i="17"/>
  <c r="F42" i="17"/>
  <c r="E43" i="17"/>
  <c r="F44" i="17"/>
  <c r="E45" i="17"/>
  <c r="F46" i="17"/>
  <c r="E47" i="17"/>
  <c r="F48" i="17"/>
  <c r="E49" i="17"/>
  <c r="F50" i="17"/>
  <c r="E51" i="17"/>
  <c r="F52" i="17"/>
  <c r="E53" i="17"/>
  <c r="F54" i="17"/>
  <c r="E55" i="17"/>
  <c r="F56" i="17"/>
  <c r="E57" i="17"/>
  <c r="F58" i="17"/>
  <c r="E59" i="17"/>
  <c r="F60" i="17"/>
  <c r="E61" i="17"/>
  <c r="F62" i="17"/>
  <c r="E63" i="17"/>
  <c r="F64" i="17"/>
  <c r="E65" i="17"/>
  <c r="F66" i="17"/>
  <c r="E67" i="17"/>
  <c r="F68" i="17"/>
  <c r="E69" i="17"/>
  <c r="F70" i="17"/>
  <c r="E71" i="17"/>
  <c r="F72" i="17"/>
  <c r="E73" i="17"/>
  <c r="F74" i="17"/>
  <c r="E75" i="17"/>
  <c r="F76" i="17"/>
  <c r="E77" i="17"/>
  <c r="F78" i="17"/>
  <c r="E79" i="17"/>
  <c r="F80" i="17"/>
  <c r="E81" i="17"/>
  <c r="F82" i="17"/>
  <c r="E83" i="17"/>
  <c r="F84" i="17"/>
  <c r="E85" i="17"/>
  <c r="F86" i="17"/>
  <c r="E87" i="17"/>
  <c r="F88" i="17"/>
  <c r="E89" i="17"/>
  <c r="F90" i="17"/>
  <c r="E91" i="17"/>
  <c r="F92" i="17"/>
  <c r="E93" i="17"/>
  <c r="F94" i="17"/>
  <c r="E95" i="17"/>
  <c r="F96" i="17"/>
  <c r="E97" i="17"/>
  <c r="F98" i="17"/>
  <c r="E99" i="17"/>
  <c r="F100" i="17"/>
  <c r="E101" i="17"/>
  <c r="F102" i="17"/>
  <c r="E103" i="17"/>
  <c r="F104" i="17"/>
  <c r="E105" i="17"/>
  <c r="F106" i="17"/>
  <c r="E107" i="17"/>
  <c r="F108" i="17"/>
  <c r="E109" i="17"/>
  <c r="E626" i="17"/>
  <c r="F626" i="17"/>
  <c r="C3" i="17"/>
  <c r="B20" i="2"/>
  <c r="B74" i="2" s="1"/>
  <c r="B18" i="2"/>
  <c r="B19" i="2"/>
  <c r="C57" i="2" s="1"/>
  <c r="N14" i="8"/>
  <c r="G3" i="8"/>
  <c r="G159" i="8" s="1"/>
  <c r="G158" i="8" s="1"/>
  <c r="G157" i="8" s="1"/>
  <c r="G156" i="8" s="1"/>
  <c r="G155" i="8" s="1"/>
  <c r="G154" i="8" s="1"/>
  <c r="G153" i="8" s="1"/>
  <c r="G152" i="8" s="1"/>
  <c r="G151" i="8" s="1"/>
  <c r="G150" i="8" s="1"/>
  <c r="G149" i="8" s="1"/>
  <c r="G148" i="8" s="1"/>
  <c r="G147" i="8" s="1"/>
  <c r="G146" i="8" s="1"/>
  <c r="G145" i="8" s="1"/>
  <c r="G144" i="8" s="1"/>
  <c r="G143" i="8" s="1"/>
  <c r="G142" i="8" s="1"/>
  <c r="G141" i="8" s="1"/>
  <c r="G140" i="8" s="1"/>
  <c r="G139" i="8" s="1"/>
  <c r="G138" i="8" s="1"/>
  <c r="G137" i="8" s="1"/>
  <c r="G136" i="8" s="1"/>
  <c r="G135" i="8" s="1"/>
  <c r="G134" i="8" s="1"/>
  <c r="G133" i="8" s="1"/>
  <c r="G132" i="8" s="1"/>
  <c r="G131" i="8" s="1"/>
  <c r="G130" i="8" s="1"/>
  <c r="G129" i="8" s="1"/>
  <c r="G128" i="8" s="1"/>
  <c r="G127" i="8" s="1"/>
  <c r="G126" i="8" s="1"/>
  <c r="G125" i="8" s="1"/>
  <c r="G124" i="8" s="1"/>
  <c r="G123" i="8" s="1"/>
  <c r="G122" i="8" s="1"/>
  <c r="G121" i="8" s="1"/>
  <c r="G120" i="8" s="1"/>
  <c r="G119" i="8" s="1"/>
  <c r="G118" i="8" s="1"/>
  <c r="G117" i="8" s="1"/>
  <c r="G116" i="8" s="1"/>
  <c r="G115" i="8" s="1"/>
  <c r="G114" i="8" s="1"/>
  <c r="G113" i="8" s="1"/>
  <c r="G112" i="8" s="1"/>
  <c r="G111" i="8" s="1"/>
  <c r="G110" i="8" s="1"/>
  <c r="G109" i="8" s="1"/>
  <c r="G108" i="8" s="1"/>
  <c r="G107" i="8" s="1"/>
  <c r="G106" i="8" s="1"/>
  <c r="G105" i="8" s="1"/>
  <c r="G104" i="8" s="1"/>
  <c r="G103" i="8" s="1"/>
  <c r="G102" i="8" s="1"/>
  <c r="G101" i="8" s="1"/>
  <c r="G100" i="8" s="1"/>
  <c r="G99" i="8" s="1"/>
  <c r="G98" i="8" s="1"/>
  <c r="G97" i="8" s="1"/>
  <c r="G96" i="8" s="1"/>
  <c r="G95" i="8" s="1"/>
  <c r="G94" i="8" s="1"/>
  <c r="G93" i="8" s="1"/>
  <c r="G92" i="8" s="1"/>
  <c r="G91" i="8" s="1"/>
  <c r="G90" i="8" s="1"/>
  <c r="G89" i="8" s="1"/>
  <c r="G88" i="8" s="1"/>
  <c r="G87" i="8" s="1"/>
  <c r="G86" i="8" s="1"/>
  <c r="G85" i="8" s="1"/>
  <c r="G84" i="8" s="1"/>
  <c r="G83" i="8" s="1"/>
  <c r="G82" i="8" s="1"/>
  <c r="G81" i="8" s="1"/>
  <c r="G80" i="8" s="1"/>
  <c r="G79" i="8" s="1"/>
  <c r="G78" i="8" s="1"/>
  <c r="G77" i="8" s="1"/>
  <c r="G76" i="8" s="1"/>
  <c r="G75" i="8" s="1"/>
  <c r="G74" i="8" s="1"/>
  <c r="G73" i="8" s="1"/>
  <c r="G72" i="8" s="1"/>
  <c r="G71" i="8" s="1"/>
  <c r="G70" i="8" s="1"/>
  <c r="G69" i="8" s="1"/>
  <c r="G68" i="8" s="1"/>
  <c r="G67" i="8" s="1"/>
  <c r="G66" i="8" s="1"/>
  <c r="G65" i="8" s="1"/>
  <c r="G64" i="8" s="1"/>
  <c r="G63" i="8" s="1"/>
  <c r="G62" i="8" s="1"/>
  <c r="G61" i="8" s="1"/>
  <c r="G60" i="8" s="1"/>
  <c r="G59" i="8" s="1"/>
  <c r="G58" i="8" s="1"/>
  <c r="G57" i="8" s="1"/>
  <c r="G56" i="8" s="1"/>
  <c r="G55" i="8" s="1"/>
  <c r="G54" i="8" s="1"/>
  <c r="G53" i="8" s="1"/>
  <c r="G52" i="8" s="1"/>
  <c r="G51" i="8" s="1"/>
  <c r="G50" i="8" s="1"/>
  <c r="G49" i="8" s="1"/>
  <c r="G48" i="8" s="1"/>
  <c r="G47" i="8" s="1"/>
  <c r="G46" i="8" s="1"/>
  <c r="G45" i="8" s="1"/>
  <c r="G44" i="8" s="1"/>
  <c r="G43" i="8" s="1"/>
  <c r="G42" i="8" s="1"/>
  <c r="G41" i="8" s="1"/>
  <c r="G40" i="8" s="1"/>
  <c r="G39" i="8" s="1"/>
  <c r="G38" i="8" s="1"/>
  <c r="G37" i="8" s="1"/>
  <c r="G36" i="8" s="1"/>
  <c r="G35" i="8" s="1"/>
  <c r="G34" i="8" s="1"/>
  <c r="G33" i="8" s="1"/>
  <c r="G32" i="8" s="1"/>
  <c r="G31" i="8" s="1"/>
  <c r="G30" i="8" s="1"/>
  <c r="G29" i="8" s="1"/>
  <c r="G28" i="8" s="1"/>
  <c r="G27" i="8" s="1"/>
  <c r="G26" i="8" s="1"/>
  <c r="G25" i="8" s="1"/>
  <c r="G24" i="8" s="1"/>
  <c r="G23" i="8" s="1"/>
  <c r="G22" i="8" s="1"/>
  <c r="G21" i="8" s="1"/>
  <c r="G20" i="8" s="1"/>
  <c r="G19" i="8" s="1"/>
  <c r="G18" i="8" s="1"/>
  <c r="G17" i="8" s="1"/>
  <c r="G16" i="8" s="1"/>
  <c r="G15" i="8" s="1"/>
  <c r="G14" i="8" s="1"/>
  <c r="G13" i="8" s="1"/>
  <c r="G12" i="8" s="1"/>
  <c r="G11" i="8" s="1"/>
  <c r="G10" i="8" s="1"/>
  <c r="G9" i="8" s="1"/>
  <c r="G8" i="8" s="1"/>
  <c r="G7" i="8" s="1"/>
  <c r="G6" i="8" s="1"/>
  <c r="B49" i="2"/>
  <c r="B469" i="2"/>
  <c r="O10" i="8"/>
  <c r="B334" i="2" s="1"/>
  <c r="B452" i="2" s="1"/>
  <c r="C67" i="16"/>
  <c r="D67" i="16" s="1"/>
  <c r="B411" i="2"/>
  <c r="B412" i="2" s="1"/>
  <c r="B70" i="2"/>
  <c r="E69" i="1"/>
  <c r="B206" i="2"/>
  <c r="E59" i="1" s="1"/>
  <c r="C57" i="16" s="1"/>
  <c r="D57" i="16" s="1"/>
  <c r="B470" i="2"/>
  <c r="B62" i="2" l="1"/>
  <c r="B460" i="2"/>
  <c r="B450" i="2"/>
  <c r="A450" i="2"/>
  <c r="J27" i="20"/>
  <c r="AY27" i="20" s="1"/>
  <c r="BA27" i="20" s="1"/>
  <c r="J35" i="20"/>
  <c r="AY35" i="20" s="1"/>
  <c r="BA35" i="20" s="1"/>
  <c r="J24" i="20"/>
  <c r="AY24" i="20" s="1"/>
  <c r="J32" i="20"/>
  <c r="AY32" i="20" s="1"/>
  <c r="BA32" i="20" s="1"/>
  <c r="J40" i="20"/>
  <c r="AY40" i="20" s="1"/>
  <c r="BA40" i="20" s="1"/>
  <c r="J52" i="20"/>
  <c r="AY52" i="20" s="1"/>
  <c r="BA52" i="20" s="1"/>
  <c r="J60" i="20"/>
  <c r="AY60" i="20" s="1"/>
  <c r="BA60" i="20" s="1"/>
  <c r="J68" i="20"/>
  <c r="AY68" i="20" s="1"/>
  <c r="BA68" i="20" s="1"/>
  <c r="J76" i="20"/>
  <c r="AY76" i="20" s="1"/>
  <c r="BA76" i="20" s="1"/>
  <c r="J84" i="20"/>
  <c r="AY84" i="20" s="1"/>
  <c r="BA84" i="20" s="1"/>
  <c r="J92" i="20"/>
  <c r="AY92" i="20" s="1"/>
  <c r="BA92" i="20" s="1"/>
  <c r="J100" i="20"/>
  <c r="AY100" i="20" s="1"/>
  <c r="BA100" i="20" s="1"/>
  <c r="J108" i="20"/>
  <c r="AY108" i="20" s="1"/>
  <c r="BA108" i="20" s="1"/>
  <c r="J16" i="20"/>
  <c r="AY16" i="20" s="1"/>
  <c r="BA16" i="20" s="1"/>
  <c r="J47" i="20"/>
  <c r="AY47" i="20" s="1"/>
  <c r="BA47" i="20" s="1"/>
  <c r="J55" i="20"/>
  <c r="AY55" i="20" s="1"/>
  <c r="BA55" i="20" s="1"/>
  <c r="J63" i="20"/>
  <c r="AY63" i="20" s="1"/>
  <c r="BA63" i="20" s="1"/>
  <c r="J71" i="20"/>
  <c r="AY71" i="20" s="1"/>
  <c r="BA71" i="20" s="1"/>
  <c r="J79" i="20"/>
  <c r="AY79" i="20" s="1"/>
  <c r="BA79" i="20" s="1"/>
  <c r="J87" i="20"/>
  <c r="AY87" i="20" s="1"/>
  <c r="BA87" i="20" s="1"/>
  <c r="J95" i="20"/>
  <c r="AY95" i="20" s="1"/>
  <c r="BA95" i="20" s="1"/>
  <c r="J103" i="20"/>
  <c r="AY103" i="20" s="1"/>
  <c r="BA103" i="20" s="1"/>
  <c r="J11" i="20"/>
  <c r="AY11" i="20" s="1"/>
  <c r="BA11" i="20" s="1"/>
  <c r="J19" i="20"/>
  <c r="AY19" i="20" s="1"/>
  <c r="BA19" i="20" s="1"/>
  <c r="B60" i="2"/>
  <c r="J28" i="20"/>
  <c r="AY28" i="20" s="1"/>
  <c r="BA28" i="20" s="1"/>
  <c r="J44" i="20"/>
  <c r="AY44" i="20" s="1"/>
  <c r="BA44" i="20" s="1"/>
  <c r="J48" i="20"/>
  <c r="AY48" i="20" s="1"/>
  <c r="BA48" i="20" s="1"/>
  <c r="J56" i="20"/>
  <c r="AY56" i="20" s="1"/>
  <c r="BA56" i="20" s="1"/>
  <c r="J64" i="20"/>
  <c r="AY64" i="20" s="1"/>
  <c r="BA64" i="20" s="1"/>
  <c r="J72" i="20"/>
  <c r="AY72" i="20" s="1"/>
  <c r="BA72" i="20" s="1"/>
  <c r="J80" i="20"/>
  <c r="AY80" i="20" s="1"/>
  <c r="BA80" i="20" s="1"/>
  <c r="J88" i="20"/>
  <c r="AY88" i="20" s="1"/>
  <c r="BA88" i="20" s="1"/>
  <c r="J96" i="20"/>
  <c r="AY96" i="20" s="1"/>
  <c r="BA96" i="20" s="1"/>
  <c r="J104" i="20"/>
  <c r="AY104" i="20" s="1"/>
  <c r="BA104" i="20" s="1"/>
  <c r="J12" i="20"/>
  <c r="AY12" i="20" s="1"/>
  <c r="BA12" i="20" s="1"/>
  <c r="J20" i="20"/>
  <c r="AY20" i="20" s="1"/>
  <c r="BA20" i="20" s="1"/>
  <c r="J43" i="20"/>
  <c r="AY43" i="20" s="1"/>
  <c r="BA43" i="20" s="1"/>
  <c r="J23" i="20"/>
  <c r="AY23" i="20" s="1"/>
  <c r="BA23" i="20" s="1"/>
  <c r="J39" i="20"/>
  <c r="AY39" i="20" s="1"/>
  <c r="BA39" i="20" s="1"/>
  <c r="J36" i="20"/>
  <c r="AY36" i="20" s="1"/>
  <c r="BA36" i="20" s="1"/>
  <c r="J51" i="20"/>
  <c r="AY51" i="20" s="1"/>
  <c r="BA51" i="20" s="1"/>
  <c r="J59" i="20"/>
  <c r="AY59" i="20" s="1"/>
  <c r="BA59" i="20" s="1"/>
  <c r="J67" i="20"/>
  <c r="AY67" i="20" s="1"/>
  <c r="BA67" i="20" s="1"/>
  <c r="J75" i="20"/>
  <c r="AY75" i="20" s="1"/>
  <c r="BA75" i="20" s="1"/>
  <c r="J83" i="20"/>
  <c r="AY83" i="20" s="1"/>
  <c r="BA83" i="20" s="1"/>
  <c r="J91" i="20"/>
  <c r="AY91" i="20" s="1"/>
  <c r="BA91" i="20" s="1"/>
  <c r="J99" i="20"/>
  <c r="AY99" i="20" s="1"/>
  <c r="BA99" i="20" s="1"/>
  <c r="J107" i="20"/>
  <c r="AY107" i="20" s="1"/>
  <c r="BA107" i="20" s="1"/>
  <c r="J15" i="20"/>
  <c r="AY15" i="20" s="1"/>
  <c r="BA15" i="20" s="1"/>
  <c r="AY9" i="20"/>
  <c r="BA9" i="20" s="1"/>
  <c r="B75" i="20" s="1"/>
  <c r="B76" i="20" s="1"/>
  <c r="AC158" i="20"/>
  <c r="AC160" i="20"/>
  <c r="AC162" i="20"/>
  <c r="AC164" i="20"/>
  <c r="AC166" i="20"/>
  <c r="AC168" i="20"/>
  <c r="AC170" i="20"/>
  <c r="AC172" i="20"/>
  <c r="AC174" i="20"/>
  <c r="AC176" i="20"/>
  <c r="AC178" i="20"/>
  <c r="AC180" i="20"/>
  <c r="AC182" i="20"/>
  <c r="AC184" i="20"/>
  <c r="AC186" i="20"/>
  <c r="AC188" i="20"/>
  <c r="AC190" i="20"/>
  <c r="AC192" i="20"/>
  <c r="AC194" i="20"/>
  <c r="AC196" i="20"/>
  <c r="AC198" i="20"/>
  <c r="AC200" i="20"/>
  <c r="AC202" i="20"/>
  <c r="AC204" i="20"/>
  <c r="AC157" i="20"/>
  <c r="AC161" i="20"/>
  <c r="AC165" i="20"/>
  <c r="AC169" i="20"/>
  <c r="AC173" i="20"/>
  <c r="AC177" i="20"/>
  <c r="AC181" i="20"/>
  <c r="AC185" i="20"/>
  <c r="AC189" i="20"/>
  <c r="AC193" i="20"/>
  <c r="AC197" i="20"/>
  <c r="AC201" i="20"/>
  <c r="AC205" i="20"/>
  <c r="AC207" i="20"/>
  <c r="AC209" i="20"/>
  <c r="AC175" i="20"/>
  <c r="AC183" i="20"/>
  <c r="AC191" i="20"/>
  <c r="AC199" i="20"/>
  <c r="AC206" i="20"/>
  <c r="AC159" i="20"/>
  <c r="AC163" i="20"/>
  <c r="AC167" i="20"/>
  <c r="AC171" i="20"/>
  <c r="AC179" i="20"/>
  <c r="AC187" i="20"/>
  <c r="AC195" i="20"/>
  <c r="AC203" i="20"/>
  <c r="AC208" i="20"/>
  <c r="AC90" i="21"/>
  <c r="AC86" i="21"/>
  <c r="AC82" i="21"/>
  <c r="AC55" i="21"/>
  <c r="AC40" i="21"/>
  <c r="AC35" i="21"/>
  <c r="AC57" i="21"/>
  <c r="AC50" i="21"/>
  <c r="AC43" i="21"/>
  <c r="AC34" i="21"/>
  <c r="AC26" i="21"/>
  <c r="AC89" i="21"/>
  <c r="AC85" i="21"/>
  <c r="AC81" i="21"/>
  <c r="AC75" i="21"/>
  <c r="AC69" i="21"/>
  <c r="AC66" i="21"/>
  <c r="AC64" i="21"/>
  <c r="AC62" i="21"/>
  <c r="AC60" i="21"/>
  <c r="AC53" i="21"/>
  <c r="AC31" i="21"/>
  <c r="AC24" i="21"/>
  <c r="AC56" i="21"/>
  <c r="AC48" i="21"/>
  <c r="AC41" i="21"/>
  <c r="AC33" i="21"/>
  <c r="AC25" i="21"/>
  <c r="AC21" i="21"/>
  <c r="AC16" i="21"/>
  <c r="AC14" i="21"/>
  <c r="AC12" i="21"/>
  <c r="AC9" i="21"/>
  <c r="AC18" i="21"/>
  <c r="AC10" i="21"/>
  <c r="AC32" i="21"/>
  <c r="AC44" i="21"/>
  <c r="AC51" i="21"/>
  <c r="AC92" i="21"/>
  <c r="AC94" i="21"/>
  <c r="AC96" i="21"/>
  <c r="AC98" i="21"/>
  <c r="AC100" i="21"/>
  <c r="AC102" i="21"/>
  <c r="AC104" i="21"/>
  <c r="AC106" i="21"/>
  <c r="AC108" i="21"/>
  <c r="AC70" i="21"/>
  <c r="AC73" i="21"/>
  <c r="AC76" i="21"/>
  <c r="AC79" i="21"/>
  <c r="AC88" i="21"/>
  <c r="AC84" i="21"/>
  <c r="AC80" i="21"/>
  <c r="AC49" i="21"/>
  <c r="AC36" i="21"/>
  <c r="AC27" i="21"/>
  <c r="AC54" i="21"/>
  <c r="AC47" i="21"/>
  <c r="AC39" i="21"/>
  <c r="AC28" i="21"/>
  <c r="AC22" i="21"/>
  <c r="AC87" i="21"/>
  <c r="AC83" i="21"/>
  <c r="AC77" i="21"/>
  <c r="AC72" i="21"/>
  <c r="AC67" i="21"/>
  <c r="AC65" i="21"/>
  <c r="AC63" i="21"/>
  <c r="AC61" i="21"/>
  <c r="AC58" i="21"/>
  <c r="AC38" i="21"/>
  <c r="AC30" i="21"/>
  <c r="AC68" i="21"/>
  <c r="AC52" i="21"/>
  <c r="AC45" i="21"/>
  <c r="AC37" i="21"/>
  <c r="AC29" i="21"/>
  <c r="AC23" i="21"/>
  <c r="AC19" i="21"/>
  <c r="AC15" i="21"/>
  <c r="AC13" i="21"/>
  <c r="AC11" i="21"/>
  <c r="AC20" i="21"/>
  <c r="AC17" i="21"/>
  <c r="AC59" i="21"/>
  <c r="AC42" i="21"/>
  <c r="AC46" i="21"/>
  <c r="AC91" i="21"/>
  <c r="AC93" i="21"/>
  <c r="AC95" i="21"/>
  <c r="AC97" i="21"/>
  <c r="AC99" i="21"/>
  <c r="AC101" i="21"/>
  <c r="AC103" i="21"/>
  <c r="AC105" i="21"/>
  <c r="AC107" i="21"/>
  <c r="AC109" i="21"/>
  <c r="AC71" i="21"/>
  <c r="AC74" i="21"/>
  <c r="AC78" i="21"/>
  <c r="AU90" i="21"/>
  <c r="AU86" i="21"/>
  <c r="AU82" i="21"/>
  <c r="AU55" i="21"/>
  <c r="AU40" i="21"/>
  <c r="AU35" i="21"/>
  <c r="AU57" i="21"/>
  <c r="AU50" i="21"/>
  <c r="AU43" i="21"/>
  <c r="AU34" i="21"/>
  <c r="AU26" i="21"/>
  <c r="AU89" i="21"/>
  <c r="AU85" i="21"/>
  <c r="AU81" i="21"/>
  <c r="AU75" i="21"/>
  <c r="AU69" i="21"/>
  <c r="AU66" i="21"/>
  <c r="AU64" i="21"/>
  <c r="AU62" i="21"/>
  <c r="AU60" i="21"/>
  <c r="AU53" i="21"/>
  <c r="AU31" i="21"/>
  <c r="AU24" i="21"/>
  <c r="AU56" i="21"/>
  <c r="AU48" i="21"/>
  <c r="AU41" i="21"/>
  <c r="AU33" i="21"/>
  <c r="AU25" i="21"/>
  <c r="AU21" i="21"/>
  <c r="AU16" i="21"/>
  <c r="AU14" i="21"/>
  <c r="AU12" i="21"/>
  <c r="AU9" i="21"/>
  <c r="AU18" i="21"/>
  <c r="AU10" i="21"/>
  <c r="AU32" i="21"/>
  <c r="AU44" i="21"/>
  <c r="AU51" i="21"/>
  <c r="AU92" i="21"/>
  <c r="AU94" i="21"/>
  <c r="AU96" i="21"/>
  <c r="AU98" i="21"/>
  <c r="AU100" i="21"/>
  <c r="AU102" i="21"/>
  <c r="AU104" i="21"/>
  <c r="AU106" i="21"/>
  <c r="AU108" i="21"/>
  <c r="AU70" i="21"/>
  <c r="AU73" i="21"/>
  <c r="AU76" i="21"/>
  <c r="AU79" i="21"/>
  <c r="AU88" i="21"/>
  <c r="AU84" i="21"/>
  <c r="AU80" i="21"/>
  <c r="AU49" i="21"/>
  <c r="AU36" i="21"/>
  <c r="AU27" i="21"/>
  <c r="AU54" i="21"/>
  <c r="AU47" i="21"/>
  <c r="AU39" i="21"/>
  <c r="AU28" i="21"/>
  <c r="AU22" i="21"/>
  <c r="AU87" i="21"/>
  <c r="AU83" i="21"/>
  <c r="AU77" i="21"/>
  <c r="AU72" i="21"/>
  <c r="AU67" i="21"/>
  <c r="AU65" i="21"/>
  <c r="AU63" i="21"/>
  <c r="AU61" i="21"/>
  <c r="AU58" i="21"/>
  <c r="AU38" i="21"/>
  <c r="AU30" i="21"/>
  <c r="AU68" i="21"/>
  <c r="AU52" i="21"/>
  <c r="AU45" i="21"/>
  <c r="AU37" i="21"/>
  <c r="AU29" i="21"/>
  <c r="AU23" i="21"/>
  <c r="AU19" i="21"/>
  <c r="AU15" i="21"/>
  <c r="AU13" i="21"/>
  <c r="AU11" i="21"/>
  <c r="AU20" i="21"/>
  <c r="AU17" i="21"/>
  <c r="AU59" i="21"/>
  <c r="AU42" i="21"/>
  <c r="AU46" i="21"/>
  <c r="AU91" i="21"/>
  <c r="AU93" i="21"/>
  <c r="AU95" i="21"/>
  <c r="AU97" i="21"/>
  <c r="AU99" i="21"/>
  <c r="AU101" i="21"/>
  <c r="AU103" i="21"/>
  <c r="AU105" i="21"/>
  <c r="AU107" i="21"/>
  <c r="AU109" i="21"/>
  <c r="AU71" i="21"/>
  <c r="AU74" i="21"/>
  <c r="AU78" i="21"/>
  <c r="O90" i="21"/>
  <c r="M90" i="21" s="1"/>
  <c r="N90" i="21"/>
  <c r="O86" i="21"/>
  <c r="M86" i="21" s="1"/>
  <c r="N86" i="21"/>
  <c r="O82" i="21"/>
  <c r="M82" i="21" s="1"/>
  <c r="N82" i="21"/>
  <c r="O55" i="21"/>
  <c r="M55" i="21" s="1"/>
  <c r="N55" i="21"/>
  <c r="O40" i="21"/>
  <c r="M40" i="21" s="1"/>
  <c r="N40" i="21"/>
  <c r="O35" i="21"/>
  <c r="M35" i="21" s="1"/>
  <c r="N35" i="21"/>
  <c r="O57" i="21"/>
  <c r="M57" i="21" s="1"/>
  <c r="N57" i="21"/>
  <c r="O50" i="21"/>
  <c r="M50" i="21" s="1"/>
  <c r="N50" i="21"/>
  <c r="O43" i="21"/>
  <c r="M43" i="21" s="1"/>
  <c r="N43" i="21"/>
  <c r="O34" i="21"/>
  <c r="M34" i="21" s="1"/>
  <c r="N34" i="21"/>
  <c r="O26" i="21"/>
  <c r="M26" i="21" s="1"/>
  <c r="N26" i="21"/>
  <c r="N89" i="21"/>
  <c r="O89" i="21"/>
  <c r="M89" i="21" s="1"/>
  <c r="N85" i="21"/>
  <c r="O85" i="21"/>
  <c r="N81" i="21"/>
  <c r="O81" i="21"/>
  <c r="M81" i="21" s="1"/>
  <c r="N75" i="21"/>
  <c r="O75" i="21"/>
  <c r="N69" i="21"/>
  <c r="O69" i="21"/>
  <c r="M69" i="21" s="1"/>
  <c r="O66" i="21"/>
  <c r="M66" i="21" s="1"/>
  <c r="N66" i="21"/>
  <c r="O64" i="21"/>
  <c r="M64" i="21" s="1"/>
  <c r="N64" i="21"/>
  <c r="O62" i="21"/>
  <c r="M62" i="21" s="1"/>
  <c r="N62" i="21"/>
  <c r="O60" i="21"/>
  <c r="M60" i="21" s="1"/>
  <c r="N60" i="21"/>
  <c r="O53" i="21"/>
  <c r="M53" i="21" s="1"/>
  <c r="N53" i="21"/>
  <c r="O31" i="21"/>
  <c r="M31" i="21" s="1"/>
  <c r="N31" i="21"/>
  <c r="O24" i="21"/>
  <c r="M24" i="21" s="1"/>
  <c r="N24" i="21"/>
  <c r="O56" i="21"/>
  <c r="M56" i="21" s="1"/>
  <c r="N56" i="21"/>
  <c r="O48" i="21"/>
  <c r="M48" i="21" s="1"/>
  <c r="N48" i="21"/>
  <c r="O41" i="21"/>
  <c r="M41" i="21" s="1"/>
  <c r="N41" i="21"/>
  <c r="O33" i="21"/>
  <c r="M33" i="21" s="1"/>
  <c r="N33" i="21"/>
  <c r="O25" i="21"/>
  <c r="M25" i="21" s="1"/>
  <c r="N25" i="21"/>
  <c r="O21" i="21"/>
  <c r="M21" i="21" s="1"/>
  <c r="N21" i="21"/>
  <c r="O16" i="21"/>
  <c r="M16" i="21" s="1"/>
  <c r="N16" i="21"/>
  <c r="O14" i="21"/>
  <c r="M14" i="21" s="1"/>
  <c r="N14" i="21"/>
  <c r="O12" i="21"/>
  <c r="M12" i="21" s="1"/>
  <c r="N12" i="21"/>
  <c r="O9" i="21"/>
  <c r="M9" i="21" s="1"/>
  <c r="N9" i="21"/>
  <c r="O18" i="21"/>
  <c r="M18" i="21" s="1"/>
  <c r="N18" i="21"/>
  <c r="O10" i="21"/>
  <c r="M10" i="21" s="1"/>
  <c r="N10" i="21"/>
  <c r="O32" i="21"/>
  <c r="M32" i="21" s="1"/>
  <c r="N32" i="21"/>
  <c r="O44" i="21"/>
  <c r="M44" i="21" s="1"/>
  <c r="N44" i="21"/>
  <c r="O51" i="21"/>
  <c r="M51" i="21" s="1"/>
  <c r="N51" i="21"/>
  <c r="O92" i="21"/>
  <c r="M92" i="21" s="1"/>
  <c r="N92" i="21"/>
  <c r="O94" i="21"/>
  <c r="M94" i="21" s="1"/>
  <c r="N94" i="21"/>
  <c r="O96" i="21"/>
  <c r="M96" i="21" s="1"/>
  <c r="N96" i="21"/>
  <c r="O98" i="21"/>
  <c r="M98" i="21" s="1"/>
  <c r="N98" i="21"/>
  <c r="O100" i="21"/>
  <c r="M100" i="21" s="1"/>
  <c r="N100" i="21"/>
  <c r="O102" i="21"/>
  <c r="M102" i="21" s="1"/>
  <c r="N102" i="21"/>
  <c r="O104" i="21"/>
  <c r="M104" i="21" s="1"/>
  <c r="N104" i="21"/>
  <c r="O106" i="21"/>
  <c r="M106" i="21" s="1"/>
  <c r="N106" i="21"/>
  <c r="O108" i="21"/>
  <c r="M108" i="21" s="1"/>
  <c r="N108" i="21"/>
  <c r="O70" i="21"/>
  <c r="M70" i="21" s="1"/>
  <c r="N70" i="21"/>
  <c r="N73" i="21"/>
  <c r="O73" i="21"/>
  <c r="M73" i="21" s="1"/>
  <c r="O76" i="21"/>
  <c r="M76" i="21" s="1"/>
  <c r="N76" i="21"/>
  <c r="N79" i="21"/>
  <c r="O79" i="21"/>
  <c r="M79" i="21" s="1"/>
  <c r="O88" i="21"/>
  <c r="M88" i="21" s="1"/>
  <c r="N88" i="21"/>
  <c r="O84" i="21"/>
  <c r="M84" i="21" s="1"/>
  <c r="N84" i="21"/>
  <c r="O80" i="21"/>
  <c r="M80" i="21" s="1"/>
  <c r="N80" i="21"/>
  <c r="O49" i="21"/>
  <c r="M49" i="21" s="1"/>
  <c r="N49" i="21"/>
  <c r="O36" i="21"/>
  <c r="M36" i="21" s="1"/>
  <c r="N36" i="21"/>
  <c r="O27" i="21"/>
  <c r="M27" i="21" s="1"/>
  <c r="N27" i="21"/>
  <c r="O54" i="21"/>
  <c r="M54" i="21" s="1"/>
  <c r="N54" i="21"/>
  <c r="O47" i="21"/>
  <c r="M47" i="21" s="1"/>
  <c r="N47" i="21"/>
  <c r="O39" i="21"/>
  <c r="M39" i="21" s="1"/>
  <c r="N39" i="21"/>
  <c r="O28" i="21"/>
  <c r="M28" i="21" s="1"/>
  <c r="N28" i="21"/>
  <c r="O22" i="21"/>
  <c r="M22" i="21" s="1"/>
  <c r="N22" i="21"/>
  <c r="N87" i="21"/>
  <c r="O87" i="21"/>
  <c r="M87" i="21" s="1"/>
  <c r="N83" i="21"/>
  <c r="O83" i="21"/>
  <c r="N77" i="21"/>
  <c r="O77" i="21"/>
  <c r="M77" i="21" s="1"/>
  <c r="O72" i="21"/>
  <c r="M72" i="21" s="1"/>
  <c r="N72" i="21"/>
  <c r="O67" i="21"/>
  <c r="M67" i="21" s="1"/>
  <c r="N67" i="21"/>
  <c r="O65" i="21"/>
  <c r="M65" i="21" s="1"/>
  <c r="N65" i="21"/>
  <c r="O63" i="21"/>
  <c r="M63" i="21" s="1"/>
  <c r="N63" i="21"/>
  <c r="O61" i="21"/>
  <c r="M61" i="21" s="1"/>
  <c r="N61" i="21"/>
  <c r="O58" i="21"/>
  <c r="M58" i="21" s="1"/>
  <c r="N58" i="21"/>
  <c r="O38" i="21"/>
  <c r="M38" i="21" s="1"/>
  <c r="N38" i="21"/>
  <c r="O30" i="21"/>
  <c r="M30" i="21" s="1"/>
  <c r="N30" i="21"/>
  <c r="O68" i="21"/>
  <c r="M68" i="21" s="1"/>
  <c r="N68" i="21"/>
  <c r="O52" i="21"/>
  <c r="M52" i="21" s="1"/>
  <c r="N52" i="21"/>
  <c r="O45" i="21"/>
  <c r="M45" i="21" s="1"/>
  <c r="N45" i="21"/>
  <c r="O37" i="21"/>
  <c r="M37" i="21" s="1"/>
  <c r="N37" i="21"/>
  <c r="O29" i="21"/>
  <c r="M29" i="21" s="1"/>
  <c r="N29" i="21"/>
  <c r="O23" i="21"/>
  <c r="M23" i="21" s="1"/>
  <c r="N23" i="21"/>
  <c r="O19" i="21"/>
  <c r="M19" i="21" s="1"/>
  <c r="N19" i="21"/>
  <c r="O15" i="21"/>
  <c r="M15" i="21" s="1"/>
  <c r="N15" i="21"/>
  <c r="O13" i="21"/>
  <c r="M13" i="21" s="1"/>
  <c r="N13" i="21"/>
  <c r="O11" i="21"/>
  <c r="M11" i="21" s="1"/>
  <c r="N11" i="21"/>
  <c r="O20" i="21"/>
  <c r="M20" i="21" s="1"/>
  <c r="N20" i="21"/>
  <c r="O17" i="21"/>
  <c r="M17" i="21" s="1"/>
  <c r="N17" i="21"/>
  <c r="O59" i="21"/>
  <c r="M59" i="21" s="1"/>
  <c r="N59" i="21"/>
  <c r="O42" i="21"/>
  <c r="M42" i="21" s="1"/>
  <c r="N42" i="21"/>
  <c r="O46" i="21"/>
  <c r="M46" i="21" s="1"/>
  <c r="N46" i="21"/>
  <c r="N91" i="21"/>
  <c r="O91" i="21"/>
  <c r="M91" i="21" s="1"/>
  <c r="N93" i="21"/>
  <c r="O93" i="21"/>
  <c r="N95" i="21"/>
  <c r="O95" i="21"/>
  <c r="M95" i="21" s="1"/>
  <c r="N97" i="21"/>
  <c r="O97" i="21"/>
  <c r="N99" i="21"/>
  <c r="O99" i="21"/>
  <c r="M99" i="21" s="1"/>
  <c r="N101" i="21"/>
  <c r="O101" i="21"/>
  <c r="N103" i="21"/>
  <c r="O103" i="21"/>
  <c r="M103" i="21" s="1"/>
  <c r="N105" i="21"/>
  <c r="O105" i="21"/>
  <c r="N107" i="21"/>
  <c r="O107" i="21"/>
  <c r="M107" i="21" s="1"/>
  <c r="N109" i="21"/>
  <c r="O109" i="21"/>
  <c r="N71" i="21"/>
  <c r="O71" i="21"/>
  <c r="M71" i="21" s="1"/>
  <c r="O74" i="21"/>
  <c r="M74" i="21" s="1"/>
  <c r="N74" i="21"/>
  <c r="O78" i="21"/>
  <c r="M78" i="21" s="1"/>
  <c r="N78" i="21"/>
  <c r="AT90" i="21"/>
  <c r="BA90" i="21"/>
  <c r="AT86" i="21"/>
  <c r="BA86" i="21"/>
  <c r="AT82" i="21"/>
  <c r="BA82" i="21"/>
  <c r="BA55" i="21"/>
  <c r="AT55" i="21"/>
  <c r="BA40" i="21"/>
  <c r="AT40" i="21"/>
  <c r="BA35" i="21"/>
  <c r="AT35" i="21"/>
  <c r="AT57" i="21"/>
  <c r="BA57" i="21"/>
  <c r="AT50" i="21"/>
  <c r="BA50" i="21"/>
  <c r="AT43" i="21"/>
  <c r="BA43" i="21"/>
  <c r="AT34" i="21"/>
  <c r="BA34" i="21"/>
  <c r="AT26" i="21"/>
  <c r="BA26" i="21"/>
  <c r="AT89" i="21"/>
  <c r="BA89" i="21"/>
  <c r="AT85" i="21"/>
  <c r="BA85" i="21"/>
  <c r="AT81" i="21"/>
  <c r="BA81" i="21"/>
  <c r="AT75" i="21"/>
  <c r="BA75" i="21"/>
  <c r="BA69" i="21"/>
  <c r="AT69" i="21"/>
  <c r="BA66" i="21"/>
  <c r="AT66" i="21"/>
  <c r="BA64" i="21"/>
  <c r="AT64" i="21"/>
  <c r="BA62" i="21"/>
  <c r="AT62" i="21"/>
  <c r="BA60" i="21"/>
  <c r="AT60" i="21"/>
  <c r="BA53" i="21"/>
  <c r="AT53" i="21"/>
  <c r="BA31" i="21"/>
  <c r="AT31" i="21"/>
  <c r="BA24" i="21"/>
  <c r="AT24" i="21"/>
  <c r="AT56" i="21"/>
  <c r="BA56" i="21"/>
  <c r="AT48" i="21"/>
  <c r="BA48" i="21"/>
  <c r="AT41" i="21"/>
  <c r="BA41" i="21"/>
  <c r="AT33" i="21"/>
  <c r="BA33" i="21"/>
  <c r="AT25" i="21"/>
  <c r="BA25" i="21"/>
  <c r="BA21" i="21"/>
  <c r="AT21" i="21"/>
  <c r="BA16" i="21"/>
  <c r="AT16" i="21"/>
  <c r="BA14" i="21"/>
  <c r="AT14" i="21"/>
  <c r="BA12" i="21"/>
  <c r="AT12" i="21"/>
  <c r="BA9" i="21"/>
  <c r="B75" i="21" s="1"/>
  <c r="B76" i="21" s="1"/>
  <c r="AT9" i="21"/>
  <c r="AT18" i="21"/>
  <c r="BA18" i="21"/>
  <c r="AT10" i="21"/>
  <c r="BA10" i="21"/>
  <c r="BA32" i="21"/>
  <c r="AT32" i="21"/>
  <c r="BA44" i="21"/>
  <c r="AT44" i="21"/>
  <c r="BA51" i="21"/>
  <c r="AT51" i="21"/>
  <c r="AT92" i="21"/>
  <c r="BA92" i="21"/>
  <c r="AT94" i="21"/>
  <c r="BA94" i="21"/>
  <c r="AT96" i="21"/>
  <c r="BA96" i="21"/>
  <c r="AT98" i="21"/>
  <c r="BA98" i="21"/>
  <c r="AT100" i="21"/>
  <c r="BA100" i="21"/>
  <c r="AT102" i="21"/>
  <c r="BA102" i="21"/>
  <c r="AT104" i="21"/>
  <c r="BA104" i="21"/>
  <c r="AT106" i="21"/>
  <c r="BA106" i="21"/>
  <c r="AT108" i="21"/>
  <c r="BA108" i="21"/>
  <c r="BA70" i="21"/>
  <c r="AT70" i="21"/>
  <c r="BA73" i="21"/>
  <c r="AT73" i="21"/>
  <c r="BA76" i="21"/>
  <c r="AT76" i="21"/>
  <c r="BA79" i="21"/>
  <c r="AT79" i="21"/>
  <c r="AT88" i="21"/>
  <c r="BA88" i="21"/>
  <c r="AT84" i="21"/>
  <c r="BA84" i="21"/>
  <c r="AT80" i="21"/>
  <c r="BA80" i="21"/>
  <c r="BA49" i="21"/>
  <c r="AT49" i="21"/>
  <c r="BA36" i="21"/>
  <c r="AT36" i="21"/>
  <c r="BA27" i="21"/>
  <c r="AT27" i="21"/>
  <c r="AT54" i="21"/>
  <c r="BA54" i="21"/>
  <c r="AT47" i="21"/>
  <c r="BA47" i="21"/>
  <c r="AT39" i="21"/>
  <c r="BA39" i="21"/>
  <c r="AT28" i="21"/>
  <c r="BA28" i="21"/>
  <c r="BA22" i="21"/>
  <c r="AT22" i="21"/>
  <c r="AT87" i="21"/>
  <c r="BA87" i="21"/>
  <c r="AT83" i="21"/>
  <c r="BA83" i="21"/>
  <c r="AT77" i="21"/>
  <c r="BA77" i="21"/>
  <c r="AT72" i="21"/>
  <c r="BA72" i="21"/>
  <c r="BA67" i="21"/>
  <c r="AT67" i="21"/>
  <c r="BA65" i="21"/>
  <c r="AT65" i="21"/>
  <c r="BA63" i="21"/>
  <c r="AT63" i="21"/>
  <c r="BA61" i="21"/>
  <c r="AT61" i="21"/>
  <c r="BA58" i="21"/>
  <c r="AT58" i="21"/>
  <c r="BA38" i="21"/>
  <c r="AT38" i="21"/>
  <c r="BA30" i="21"/>
  <c r="AT30" i="21"/>
  <c r="AT68" i="21"/>
  <c r="BA68" i="21"/>
  <c r="AT52" i="21"/>
  <c r="BA52" i="21"/>
  <c r="AT45" i="21"/>
  <c r="BA45" i="21"/>
  <c r="AT37" i="21"/>
  <c r="BA37" i="21"/>
  <c r="AT29" i="21"/>
  <c r="BA29" i="21"/>
  <c r="AT23" i="21"/>
  <c r="BA23" i="21"/>
  <c r="BA19" i="21"/>
  <c r="AT19" i="21"/>
  <c r="BA15" i="21"/>
  <c r="AT15" i="21"/>
  <c r="BA13" i="21"/>
  <c r="AT13" i="21"/>
  <c r="BA11" i="21"/>
  <c r="AT11" i="21"/>
  <c r="AT20" i="21"/>
  <c r="BA20" i="21"/>
  <c r="AT17" i="21"/>
  <c r="BA17" i="21"/>
  <c r="AT59" i="21"/>
  <c r="BA59" i="21"/>
  <c r="BA42" i="21"/>
  <c r="AT42" i="21"/>
  <c r="BA46" i="21"/>
  <c r="AT46" i="21"/>
  <c r="AT91" i="21"/>
  <c r="BA91" i="21"/>
  <c r="AT93" i="21"/>
  <c r="BA93" i="21"/>
  <c r="AT95" i="21"/>
  <c r="BA95" i="21"/>
  <c r="AT97" i="21"/>
  <c r="BA97" i="21"/>
  <c r="AT99" i="21"/>
  <c r="BA99" i="21"/>
  <c r="AT101" i="21"/>
  <c r="BA101" i="21"/>
  <c r="AT103" i="21"/>
  <c r="BA103" i="21"/>
  <c r="AT105" i="21"/>
  <c r="BA105" i="21"/>
  <c r="AT107" i="21"/>
  <c r="BA107" i="21"/>
  <c r="AT109" i="21"/>
  <c r="BA109" i="21"/>
  <c r="BA71" i="21"/>
  <c r="AT71" i="21"/>
  <c r="BA74" i="21"/>
  <c r="AT74" i="21"/>
  <c r="BA78" i="21"/>
  <c r="AT78" i="21"/>
  <c r="O114" i="20"/>
  <c r="M114" i="20" s="1"/>
  <c r="AC114" i="20" s="1"/>
  <c r="N114" i="20"/>
  <c r="BA114" i="20"/>
  <c r="AU114" i="20"/>
  <c r="AT114" i="20"/>
  <c r="O138" i="20"/>
  <c r="M138" i="20" s="1"/>
  <c r="AC138" i="20" s="1"/>
  <c r="N138" i="20"/>
  <c r="BA138" i="20"/>
  <c r="AU138" i="20"/>
  <c r="AT138" i="20"/>
  <c r="O154" i="20"/>
  <c r="M154" i="20" s="1"/>
  <c r="AC154" i="20" s="1"/>
  <c r="N154" i="20"/>
  <c r="BA154" i="20"/>
  <c r="AU154" i="20"/>
  <c r="AT154" i="20"/>
  <c r="O170" i="20"/>
  <c r="M170" i="20" s="1"/>
  <c r="N170" i="20"/>
  <c r="BA170" i="20"/>
  <c r="AU170" i="20"/>
  <c r="AT170" i="20"/>
  <c r="N121" i="20"/>
  <c r="BA121" i="20"/>
  <c r="O121" i="20"/>
  <c r="M121" i="20" s="1"/>
  <c r="AC121" i="20" s="1"/>
  <c r="AU121" i="20"/>
  <c r="AT121" i="20"/>
  <c r="O129" i="20"/>
  <c r="M129" i="20" s="1"/>
  <c r="AC129" i="20" s="1"/>
  <c r="N129" i="20"/>
  <c r="BA129" i="20"/>
  <c r="AU129" i="20"/>
  <c r="AT129" i="20"/>
  <c r="O145" i="20"/>
  <c r="M145" i="20" s="1"/>
  <c r="AC145" i="20" s="1"/>
  <c r="BA145" i="20"/>
  <c r="AU145" i="20"/>
  <c r="N145" i="20"/>
  <c r="AT145" i="20"/>
  <c r="O163" i="20"/>
  <c r="N163" i="20"/>
  <c r="BA163" i="20"/>
  <c r="AU163" i="20"/>
  <c r="AT163" i="20"/>
  <c r="O112" i="20"/>
  <c r="M112" i="20" s="1"/>
  <c r="AC112" i="20" s="1"/>
  <c r="N112" i="20"/>
  <c r="BA112" i="20"/>
  <c r="AT112" i="20"/>
  <c r="AU112" i="20"/>
  <c r="O128" i="20"/>
  <c r="M128" i="20" s="1"/>
  <c r="AC128" i="20" s="1"/>
  <c r="AT128" i="20"/>
  <c r="AU128" i="20"/>
  <c r="N128" i="20"/>
  <c r="BA128" i="20"/>
  <c r="O144" i="20"/>
  <c r="M144" i="20" s="1"/>
  <c r="AC144" i="20" s="1"/>
  <c r="N144" i="20"/>
  <c r="BA144" i="20"/>
  <c r="AU144" i="20"/>
  <c r="AT144" i="20"/>
  <c r="BA152" i="20"/>
  <c r="AU152" i="20"/>
  <c r="AT152" i="20"/>
  <c r="O152" i="20"/>
  <c r="M152" i="20" s="1"/>
  <c r="AC152" i="20" s="1"/>
  <c r="N152" i="20"/>
  <c r="BA168" i="20"/>
  <c r="AU168" i="20"/>
  <c r="AT168" i="20"/>
  <c r="O168" i="20"/>
  <c r="N168" i="20"/>
  <c r="O119" i="20"/>
  <c r="M119" i="20" s="1"/>
  <c r="AC119" i="20" s="1"/>
  <c r="AU119" i="20"/>
  <c r="N119" i="20"/>
  <c r="BA119" i="20"/>
  <c r="AT119" i="20"/>
  <c r="AU143" i="20"/>
  <c r="AT143" i="20"/>
  <c r="BA143" i="20"/>
  <c r="O143" i="20"/>
  <c r="M143" i="20" s="1"/>
  <c r="AC143" i="20" s="1"/>
  <c r="N143" i="20"/>
  <c r="P143" i="20" s="1"/>
  <c r="O159" i="20"/>
  <c r="N159" i="20"/>
  <c r="BA159" i="20"/>
  <c r="AU159" i="20"/>
  <c r="AT159" i="20"/>
  <c r="O209" i="20"/>
  <c r="N209" i="20"/>
  <c r="BA209" i="20"/>
  <c r="AT209" i="20"/>
  <c r="AU209" i="20"/>
  <c r="O173" i="20"/>
  <c r="N173" i="20"/>
  <c r="BA173" i="20"/>
  <c r="AU173" i="20"/>
  <c r="AT173" i="20"/>
  <c r="O192" i="20"/>
  <c r="N192" i="20"/>
  <c r="BA192" i="20"/>
  <c r="AU192" i="20"/>
  <c r="AT192" i="20"/>
  <c r="O200" i="20"/>
  <c r="N200" i="20"/>
  <c r="AU200" i="20"/>
  <c r="BA200" i="20"/>
  <c r="AT200" i="20"/>
  <c r="O195" i="20"/>
  <c r="N195" i="20"/>
  <c r="BA195" i="20"/>
  <c r="AT195" i="20"/>
  <c r="AU195" i="20"/>
  <c r="O177" i="20"/>
  <c r="N177" i="20"/>
  <c r="BA177" i="20"/>
  <c r="AU177" i="20"/>
  <c r="AT177" i="20"/>
  <c r="N186" i="20"/>
  <c r="BA186" i="20"/>
  <c r="O186" i="20"/>
  <c r="M186" i="20" s="1"/>
  <c r="AU186" i="20"/>
  <c r="AT186" i="20"/>
  <c r="O194" i="20"/>
  <c r="AU194" i="20"/>
  <c r="N194" i="20"/>
  <c r="BA194" i="20"/>
  <c r="AT194" i="20"/>
  <c r="O202" i="20"/>
  <c r="N202" i="20"/>
  <c r="BA202" i="20"/>
  <c r="AU202" i="20"/>
  <c r="AT202" i="20"/>
  <c r="BA118" i="20"/>
  <c r="N118" i="20"/>
  <c r="P118" i="20" s="1"/>
  <c r="AT118" i="20"/>
  <c r="O118" i="20"/>
  <c r="M118" i="20" s="1"/>
  <c r="AC118" i="20" s="1"/>
  <c r="AU118" i="20"/>
  <c r="O142" i="20"/>
  <c r="M142" i="20" s="1"/>
  <c r="AC142" i="20" s="1"/>
  <c r="N142" i="20"/>
  <c r="BA142" i="20"/>
  <c r="AU142" i="20"/>
  <c r="AT142" i="20"/>
  <c r="O158" i="20"/>
  <c r="M158" i="20" s="1"/>
  <c r="N158" i="20"/>
  <c r="BA158" i="20"/>
  <c r="AU158" i="20"/>
  <c r="AT158" i="20"/>
  <c r="O174" i="20"/>
  <c r="M174" i="20" s="1"/>
  <c r="N174" i="20"/>
  <c r="BA174" i="20"/>
  <c r="AU174" i="20"/>
  <c r="AT174" i="20"/>
  <c r="BA141" i="20"/>
  <c r="AU141" i="20"/>
  <c r="AT141" i="20"/>
  <c r="O141" i="20"/>
  <c r="M141" i="20" s="1"/>
  <c r="AC141" i="20" s="1"/>
  <c r="N141" i="20"/>
  <c r="O157" i="20"/>
  <c r="M157" i="20" s="1"/>
  <c r="N157" i="20"/>
  <c r="BA157" i="20"/>
  <c r="AU157" i="20"/>
  <c r="AT157" i="20"/>
  <c r="O183" i="20"/>
  <c r="M183" i="20" s="1"/>
  <c r="N183" i="20"/>
  <c r="P183" i="20" s="1"/>
  <c r="AU183" i="20"/>
  <c r="AT183" i="20"/>
  <c r="BA183" i="20"/>
  <c r="AJ183" i="20"/>
  <c r="AK183" i="20" s="1"/>
  <c r="O132" i="20"/>
  <c r="M132" i="20" s="1"/>
  <c r="AC132" i="20" s="1"/>
  <c r="N132" i="20"/>
  <c r="BA132" i="20"/>
  <c r="AU132" i="20"/>
  <c r="AT132" i="20"/>
  <c r="BA140" i="20"/>
  <c r="AU140" i="20"/>
  <c r="AT140" i="20"/>
  <c r="O140" i="20"/>
  <c r="M140" i="20" s="1"/>
  <c r="AC140" i="20" s="1"/>
  <c r="N140" i="20"/>
  <c r="O156" i="20"/>
  <c r="M156" i="20" s="1"/>
  <c r="AC156" i="20" s="1"/>
  <c r="N156" i="20"/>
  <c r="P156" i="20" s="1"/>
  <c r="BA156" i="20"/>
  <c r="AU156" i="20"/>
  <c r="AT156" i="20"/>
  <c r="O172" i="20"/>
  <c r="N172" i="20"/>
  <c r="BA172" i="20"/>
  <c r="AU172" i="20"/>
  <c r="AT172" i="20"/>
  <c r="O139" i="20"/>
  <c r="M139" i="20" s="1"/>
  <c r="AC139" i="20" s="1"/>
  <c r="N139" i="20"/>
  <c r="AU139" i="20"/>
  <c r="AT139" i="20"/>
  <c r="BA139" i="20"/>
  <c r="O155" i="20"/>
  <c r="M155" i="20" s="1"/>
  <c r="AC155" i="20" s="1"/>
  <c r="N155" i="20"/>
  <c r="P155" i="20" s="1"/>
  <c r="BA155" i="20"/>
  <c r="AU155" i="20"/>
  <c r="AT155" i="20"/>
  <c r="O181" i="20"/>
  <c r="N181" i="20"/>
  <c r="AU181" i="20"/>
  <c r="AT181" i="20"/>
  <c r="BA181" i="20"/>
  <c r="O189" i="20"/>
  <c r="N189" i="20"/>
  <c r="BA189" i="20"/>
  <c r="AT189" i="20"/>
  <c r="AU189" i="20"/>
  <c r="O165" i="20"/>
  <c r="N165" i="20"/>
  <c r="BA165" i="20"/>
  <c r="AU165" i="20"/>
  <c r="AT165" i="20"/>
  <c r="O196" i="20"/>
  <c r="N196" i="20"/>
  <c r="AT196" i="20"/>
  <c r="BA196" i="20"/>
  <c r="AU196" i="20"/>
  <c r="O204" i="20"/>
  <c r="N204" i="20"/>
  <c r="BA204" i="20"/>
  <c r="AU204" i="20"/>
  <c r="AT204" i="20"/>
  <c r="O169" i="20"/>
  <c r="M169" i="20" s="1"/>
  <c r="N169" i="20"/>
  <c r="BA169" i="20"/>
  <c r="AU169" i="20"/>
  <c r="AT169" i="20"/>
  <c r="AU190" i="20"/>
  <c r="AT190" i="20"/>
  <c r="O190" i="20"/>
  <c r="M190" i="20" s="1"/>
  <c r="N190" i="20"/>
  <c r="BA190" i="20"/>
  <c r="O198" i="20"/>
  <c r="M198" i="20" s="1"/>
  <c r="N198" i="20"/>
  <c r="AU198" i="20"/>
  <c r="BA198" i="20"/>
  <c r="AT198" i="20"/>
  <c r="O206" i="20"/>
  <c r="M206" i="20" s="1"/>
  <c r="N206" i="20"/>
  <c r="BA206" i="20"/>
  <c r="AU206" i="20"/>
  <c r="AT206" i="20"/>
  <c r="AT122" i="20"/>
  <c r="N122" i="20"/>
  <c r="BA122" i="20"/>
  <c r="O122" i="20"/>
  <c r="M122" i="20" s="1"/>
  <c r="AC122" i="20" s="1"/>
  <c r="AU122" i="20"/>
  <c r="O130" i="20"/>
  <c r="M130" i="20" s="1"/>
  <c r="AC130" i="20" s="1"/>
  <c r="N130" i="20"/>
  <c r="BA130" i="20"/>
  <c r="AU130" i="20"/>
  <c r="AT130" i="20"/>
  <c r="O146" i="20"/>
  <c r="M146" i="20" s="1"/>
  <c r="AC146" i="20" s="1"/>
  <c r="N146" i="20"/>
  <c r="BA146" i="20"/>
  <c r="AU146" i="20"/>
  <c r="AT146" i="20"/>
  <c r="O162" i="20"/>
  <c r="M162" i="20" s="1"/>
  <c r="N162" i="20"/>
  <c r="BA162" i="20"/>
  <c r="AU162" i="20"/>
  <c r="AT162" i="20"/>
  <c r="O178" i="20"/>
  <c r="M178" i="20" s="1"/>
  <c r="N178" i="20"/>
  <c r="BA178" i="20"/>
  <c r="AU178" i="20"/>
  <c r="AT178" i="20"/>
  <c r="O113" i="20"/>
  <c r="M113" i="20" s="1"/>
  <c r="AC113" i="20" s="1"/>
  <c r="N113" i="20"/>
  <c r="AT113" i="20"/>
  <c r="BA113" i="20"/>
  <c r="AU113" i="20"/>
  <c r="O137" i="20"/>
  <c r="M137" i="20" s="1"/>
  <c r="AC137" i="20" s="1"/>
  <c r="N137" i="20"/>
  <c r="AU137" i="20"/>
  <c r="AT137" i="20"/>
  <c r="BA137" i="20"/>
  <c r="O153" i="20"/>
  <c r="M153" i="20" s="1"/>
  <c r="AC153" i="20" s="1"/>
  <c r="N153" i="20"/>
  <c r="BA153" i="20"/>
  <c r="AU153" i="20"/>
  <c r="AT153" i="20"/>
  <c r="O179" i="20"/>
  <c r="M179" i="20" s="1"/>
  <c r="N179" i="20"/>
  <c r="BA179" i="20"/>
  <c r="AU179" i="20"/>
  <c r="AT179" i="20"/>
  <c r="BA187" i="20"/>
  <c r="AU187" i="20"/>
  <c r="N187" i="20"/>
  <c r="AT187" i="20"/>
  <c r="O187" i="20"/>
  <c r="M187" i="20" s="1"/>
  <c r="AU120" i="20"/>
  <c r="AT120" i="20"/>
  <c r="N120" i="20"/>
  <c r="BA120" i="20"/>
  <c r="O120" i="20"/>
  <c r="M120" i="20" s="1"/>
  <c r="AC120" i="20" s="1"/>
  <c r="O136" i="20"/>
  <c r="M136" i="20" s="1"/>
  <c r="AC136" i="20" s="1"/>
  <c r="N136" i="20"/>
  <c r="BA136" i="20"/>
  <c r="AU136" i="20"/>
  <c r="AT136" i="20"/>
  <c r="BA160" i="20"/>
  <c r="AU160" i="20"/>
  <c r="AT160" i="20"/>
  <c r="O160" i="20"/>
  <c r="M160" i="20" s="1"/>
  <c r="N160" i="20"/>
  <c r="BA176" i="20"/>
  <c r="AU176" i="20"/>
  <c r="AT176" i="20"/>
  <c r="O176" i="20"/>
  <c r="M176" i="20" s="1"/>
  <c r="N176" i="20"/>
  <c r="AU111" i="20"/>
  <c r="O111" i="20"/>
  <c r="M111" i="20" s="1"/>
  <c r="AC111" i="20" s="1"/>
  <c r="N111" i="20"/>
  <c r="BA111" i="20"/>
  <c r="AT111" i="20"/>
  <c r="AU127" i="20"/>
  <c r="AT127" i="20"/>
  <c r="O127" i="20"/>
  <c r="M127" i="20" s="1"/>
  <c r="AC127" i="20" s="1"/>
  <c r="N127" i="20"/>
  <c r="BA127" i="20"/>
  <c r="AU135" i="20"/>
  <c r="AT135" i="20"/>
  <c r="BA135" i="20"/>
  <c r="O135" i="20"/>
  <c r="M135" i="20" s="1"/>
  <c r="AC135" i="20" s="1"/>
  <c r="N135" i="20"/>
  <c r="BA151" i="20"/>
  <c r="O151" i="20"/>
  <c r="M151" i="20" s="1"/>
  <c r="AC151" i="20" s="1"/>
  <c r="N151" i="20"/>
  <c r="AU151" i="20"/>
  <c r="AT151" i="20"/>
  <c r="O175" i="20"/>
  <c r="M175" i="20" s="1"/>
  <c r="N175" i="20"/>
  <c r="BA175" i="20"/>
  <c r="AU175" i="20"/>
  <c r="AT175" i="20"/>
  <c r="AU185" i="20"/>
  <c r="O185" i="20"/>
  <c r="M185" i="20" s="1"/>
  <c r="N185" i="20"/>
  <c r="BA185" i="20"/>
  <c r="AT185" i="20"/>
  <c r="N193" i="20"/>
  <c r="P193" i="20" s="1"/>
  <c r="AU193" i="20"/>
  <c r="O193" i="20"/>
  <c r="M193" i="20" s="1"/>
  <c r="AT193" i="20"/>
  <c r="BA193" i="20"/>
  <c r="O201" i="20"/>
  <c r="M201" i="20" s="1"/>
  <c r="N201" i="20"/>
  <c r="BA201" i="20"/>
  <c r="AU201" i="20"/>
  <c r="AT201" i="20"/>
  <c r="O184" i="20"/>
  <c r="M184" i="20" s="1"/>
  <c r="N184" i="20"/>
  <c r="AU184" i="20"/>
  <c r="AT184" i="20"/>
  <c r="BA184" i="20"/>
  <c r="O208" i="20"/>
  <c r="M208" i="20" s="1"/>
  <c r="N208" i="20"/>
  <c r="BA208" i="20"/>
  <c r="AT208" i="20"/>
  <c r="AU208" i="20"/>
  <c r="O203" i="20"/>
  <c r="M203" i="20" s="1"/>
  <c r="N203" i="20"/>
  <c r="BA203" i="20"/>
  <c r="AU203" i="20"/>
  <c r="AT203" i="20"/>
  <c r="O161" i="20"/>
  <c r="M161" i="20" s="1"/>
  <c r="N161" i="20"/>
  <c r="BA161" i="20"/>
  <c r="AU161" i="20"/>
  <c r="AT161" i="20"/>
  <c r="O110" i="20"/>
  <c r="M110" i="20" s="1"/>
  <c r="AC110" i="20" s="1"/>
  <c r="N110" i="20"/>
  <c r="BA110" i="20"/>
  <c r="AT110" i="20"/>
  <c r="AU110" i="20"/>
  <c r="N126" i="20"/>
  <c r="BA126" i="20"/>
  <c r="O126" i="20"/>
  <c r="M126" i="20" s="1"/>
  <c r="AC126" i="20" s="1"/>
  <c r="AU126" i="20"/>
  <c r="AT126" i="20"/>
  <c r="O134" i="20"/>
  <c r="M134" i="20" s="1"/>
  <c r="AC134" i="20" s="1"/>
  <c r="N134" i="20"/>
  <c r="BA134" i="20"/>
  <c r="AU134" i="20"/>
  <c r="AT134" i="20"/>
  <c r="O150" i="20"/>
  <c r="M150" i="20" s="1"/>
  <c r="AC150" i="20" s="1"/>
  <c r="N150" i="20"/>
  <c r="BA150" i="20"/>
  <c r="AU150" i="20"/>
  <c r="AT150" i="20"/>
  <c r="O166" i="20"/>
  <c r="M166" i="20" s="1"/>
  <c r="N166" i="20"/>
  <c r="BA166" i="20"/>
  <c r="AU166" i="20"/>
  <c r="AT166" i="20"/>
  <c r="BA117" i="20"/>
  <c r="AU117" i="20"/>
  <c r="AT117" i="20"/>
  <c r="O117" i="20"/>
  <c r="M117" i="20" s="1"/>
  <c r="AC117" i="20" s="1"/>
  <c r="N117" i="20"/>
  <c r="AU125" i="20"/>
  <c r="N125" i="20"/>
  <c r="BA125" i="20"/>
  <c r="AT125" i="20"/>
  <c r="O125" i="20"/>
  <c r="M125" i="20" s="1"/>
  <c r="AC125" i="20" s="1"/>
  <c r="AU133" i="20"/>
  <c r="AT133" i="20"/>
  <c r="BA133" i="20"/>
  <c r="O133" i="20"/>
  <c r="M133" i="20" s="1"/>
  <c r="AC133" i="20" s="1"/>
  <c r="N133" i="20"/>
  <c r="O149" i="20"/>
  <c r="M149" i="20" s="1"/>
  <c r="AC149" i="20" s="1"/>
  <c r="N149" i="20"/>
  <c r="BA149" i="20"/>
  <c r="AU149" i="20"/>
  <c r="AT149" i="20"/>
  <c r="O171" i="20"/>
  <c r="M171" i="20" s="1"/>
  <c r="N171" i="20"/>
  <c r="P171" i="20" s="1"/>
  <c r="AM171" i="20" s="1"/>
  <c r="BA171" i="20"/>
  <c r="AJ171" i="20"/>
  <c r="AK171" i="20" s="1"/>
  <c r="AU171" i="20"/>
  <c r="AT171" i="20"/>
  <c r="O116" i="20"/>
  <c r="M116" i="20" s="1"/>
  <c r="AC116" i="20" s="1"/>
  <c r="N116" i="20"/>
  <c r="P116" i="20" s="1"/>
  <c r="AM116" i="20" s="1"/>
  <c r="BA116" i="20"/>
  <c r="AU116" i="20"/>
  <c r="AT116" i="20"/>
  <c r="O124" i="20"/>
  <c r="M124" i="20" s="1"/>
  <c r="AC124" i="20" s="1"/>
  <c r="N124" i="20"/>
  <c r="BA124" i="20"/>
  <c r="AT124" i="20"/>
  <c r="AU124" i="20"/>
  <c r="O148" i="20"/>
  <c r="M148" i="20" s="1"/>
  <c r="AC148" i="20" s="1"/>
  <c r="N148" i="20"/>
  <c r="BA148" i="20"/>
  <c r="AU148" i="20"/>
  <c r="AT148" i="20"/>
  <c r="O164" i="20"/>
  <c r="M164" i="20" s="1"/>
  <c r="N164" i="20"/>
  <c r="BA164" i="20"/>
  <c r="AU164" i="20"/>
  <c r="AT164" i="20"/>
  <c r="O115" i="20"/>
  <c r="M115" i="20" s="1"/>
  <c r="AC115" i="20" s="1"/>
  <c r="N115" i="20"/>
  <c r="AU115" i="20"/>
  <c r="AT115" i="20"/>
  <c r="BA115" i="20"/>
  <c r="N123" i="20"/>
  <c r="BA123" i="20"/>
  <c r="AT123" i="20"/>
  <c r="O123" i="20"/>
  <c r="M123" i="20" s="1"/>
  <c r="AC123" i="20" s="1"/>
  <c r="AU123" i="20"/>
  <c r="O131" i="20"/>
  <c r="M131" i="20" s="1"/>
  <c r="AC131" i="20" s="1"/>
  <c r="N131" i="20"/>
  <c r="BA131" i="20"/>
  <c r="AU131" i="20"/>
  <c r="AT131" i="20"/>
  <c r="O147" i="20"/>
  <c r="M147" i="20" s="1"/>
  <c r="AC147" i="20" s="1"/>
  <c r="BA147" i="20"/>
  <c r="AU147" i="20"/>
  <c r="AT147" i="20"/>
  <c r="N147" i="20"/>
  <c r="O167" i="20"/>
  <c r="M167" i="20" s="1"/>
  <c r="N167" i="20"/>
  <c r="BA167" i="20"/>
  <c r="AU167" i="20"/>
  <c r="AT167" i="20"/>
  <c r="O197" i="20"/>
  <c r="M197" i="20" s="1"/>
  <c r="N197" i="20"/>
  <c r="BA197" i="20"/>
  <c r="AT197" i="20"/>
  <c r="AU197" i="20"/>
  <c r="O205" i="20"/>
  <c r="M205" i="20" s="1"/>
  <c r="N205" i="20"/>
  <c r="BA205" i="20"/>
  <c r="AU205" i="20"/>
  <c r="AT205" i="20"/>
  <c r="O180" i="20"/>
  <c r="M180" i="20" s="1"/>
  <c r="AT180" i="20"/>
  <c r="BA180" i="20"/>
  <c r="N180" i="20"/>
  <c r="AU180" i="20"/>
  <c r="N188" i="20"/>
  <c r="O188" i="20"/>
  <c r="AT188" i="20"/>
  <c r="BA188" i="20"/>
  <c r="AU188" i="20"/>
  <c r="O191" i="20"/>
  <c r="N191" i="20"/>
  <c r="BA191" i="20"/>
  <c r="AU191" i="20"/>
  <c r="AT191" i="20"/>
  <c r="O199" i="20"/>
  <c r="N199" i="20"/>
  <c r="AT199" i="20"/>
  <c r="BA199" i="20"/>
  <c r="AU199" i="20"/>
  <c r="O207" i="20"/>
  <c r="BA207" i="20"/>
  <c r="AT207" i="20"/>
  <c r="AU207" i="20"/>
  <c r="N207" i="20"/>
  <c r="O182" i="20"/>
  <c r="N182" i="20"/>
  <c r="AU182" i="20"/>
  <c r="AT182" i="20"/>
  <c r="BA182" i="20"/>
  <c r="AT9" i="20"/>
  <c r="AT64" i="20"/>
  <c r="AT22" i="20"/>
  <c r="AU9" i="20"/>
  <c r="BA24" i="20"/>
  <c r="AU47" i="20"/>
  <c r="AU22" i="20"/>
  <c r="O22" i="20"/>
  <c r="O9" i="20"/>
  <c r="N9" i="20"/>
  <c r="J21" i="20"/>
  <c r="AY21" i="20" s="1"/>
  <c r="J33" i="20"/>
  <c r="J37" i="20"/>
  <c r="AY37" i="20" s="1"/>
  <c r="J26" i="20"/>
  <c r="J34" i="20"/>
  <c r="J38" i="20"/>
  <c r="AY38" i="20" s="1"/>
  <c r="J42" i="20"/>
  <c r="AY42" i="20" s="1"/>
  <c r="J46" i="20"/>
  <c r="AY46" i="20" s="1"/>
  <c r="J45" i="20"/>
  <c r="AY45" i="20" s="1"/>
  <c r="J50" i="20"/>
  <c r="AY50" i="20" s="1"/>
  <c r="J54" i="20"/>
  <c r="AY54" i="20" s="1"/>
  <c r="J58" i="20"/>
  <c r="AY58" i="20" s="1"/>
  <c r="J62" i="20"/>
  <c r="J66" i="20"/>
  <c r="J70" i="20"/>
  <c r="J74" i="20"/>
  <c r="J78" i="20"/>
  <c r="J82" i="20"/>
  <c r="J86" i="20"/>
  <c r="J90" i="20"/>
  <c r="J94" i="20"/>
  <c r="J98" i="20"/>
  <c r="J102" i="20"/>
  <c r="J106" i="20"/>
  <c r="J10" i="20"/>
  <c r="AY10" i="20" s="1"/>
  <c r="J18" i="20"/>
  <c r="AY18" i="20" s="1"/>
  <c r="J49" i="20"/>
  <c r="AY49" i="20" s="1"/>
  <c r="J53" i="20"/>
  <c r="AY53" i="20" s="1"/>
  <c r="J57" i="20"/>
  <c r="AY57" i="20" s="1"/>
  <c r="J61" i="20"/>
  <c r="J65" i="20"/>
  <c r="J69" i="20"/>
  <c r="J73" i="20"/>
  <c r="J77" i="20"/>
  <c r="J81" i="20"/>
  <c r="J85" i="20"/>
  <c r="J89" i="20"/>
  <c r="J93" i="20"/>
  <c r="J97" i="20"/>
  <c r="J101" i="20"/>
  <c r="J105" i="20"/>
  <c r="J109" i="20"/>
  <c r="J13" i="20"/>
  <c r="AY13" i="20" s="1"/>
  <c r="J17" i="20"/>
  <c r="AY17" i="20" s="1"/>
  <c r="J41" i="20"/>
  <c r="AY41" i="20" s="1"/>
  <c r="J25" i="20"/>
  <c r="J29" i="20"/>
  <c r="J30" i="20"/>
  <c r="J14" i="20"/>
  <c r="AY14" i="20" s="1"/>
  <c r="J31" i="20"/>
  <c r="BA22" i="20"/>
  <c r="G178" i="2"/>
  <c r="B258" i="2"/>
  <c r="B105" i="2"/>
  <c r="B119" i="2" s="1"/>
  <c r="B262" i="2"/>
  <c r="C54" i="16"/>
  <c r="D54" i="16" s="1"/>
  <c r="B200" i="2"/>
  <c r="B72" i="2"/>
  <c r="A460" i="2"/>
  <c r="B391" i="2"/>
  <c r="D391" i="2"/>
  <c r="B61" i="2"/>
  <c r="B73" i="2"/>
  <c r="G92" i="2"/>
  <c r="K151" i="2"/>
  <c r="B80" i="2"/>
  <c r="C80" i="2"/>
  <c r="L151" i="2"/>
  <c r="G90" i="2"/>
  <c r="B278" i="2"/>
  <c r="F6" i="17" s="1"/>
  <c r="E623" i="17"/>
  <c r="F623" i="17"/>
  <c r="B340" i="2"/>
  <c r="G91" i="2"/>
  <c r="C58" i="2"/>
  <c r="C56" i="2"/>
  <c r="B339" i="2"/>
  <c r="B341" i="2"/>
  <c r="B15" i="6"/>
  <c r="B3" i="6"/>
  <c r="B16" i="6"/>
  <c r="H338" i="2"/>
  <c r="E74" i="1"/>
  <c r="O76" i="20" l="1"/>
  <c r="M76" i="20" s="1"/>
  <c r="AC76" i="20" s="1"/>
  <c r="AT40" i="20"/>
  <c r="O95" i="20"/>
  <c r="M95" i="20" s="1"/>
  <c r="AC95" i="20" s="1"/>
  <c r="AT39" i="20"/>
  <c r="O63" i="20"/>
  <c r="M63" i="20" s="1"/>
  <c r="AC63" i="20" s="1"/>
  <c r="N40" i="20"/>
  <c r="AU76" i="20"/>
  <c r="AT63" i="20"/>
  <c r="N20" i="20"/>
  <c r="O27" i="20"/>
  <c r="M27" i="20" s="1"/>
  <c r="AT76" i="20"/>
  <c r="AT27" i="20"/>
  <c r="O108" i="20"/>
  <c r="M108" i="20" s="1"/>
  <c r="AC108" i="20" s="1"/>
  <c r="AU95" i="20"/>
  <c r="AT15" i="20"/>
  <c r="B64" i="2"/>
  <c r="N63" i="20"/>
  <c r="P63" i="20" s="1"/>
  <c r="AM63" i="20" s="1"/>
  <c r="N76" i="20"/>
  <c r="P76" i="20" s="1"/>
  <c r="AM76" i="20" s="1"/>
  <c r="O40" i="20"/>
  <c r="M40" i="20" s="1"/>
  <c r="AC40" i="20" s="1"/>
  <c r="AU63" i="20"/>
  <c r="AU40" i="20"/>
  <c r="AT108" i="20"/>
  <c r="N95" i="20"/>
  <c r="P95" i="20" s="1"/>
  <c r="AA95" i="20" s="1"/>
  <c r="N108" i="20"/>
  <c r="P108" i="20" s="1"/>
  <c r="AQ108" i="20" s="1"/>
  <c r="N56" i="20"/>
  <c r="P56" i="20" s="1"/>
  <c r="AM56" i="20" s="1"/>
  <c r="N27" i="20"/>
  <c r="AU108" i="20"/>
  <c r="AU27" i="20"/>
  <c r="AT95" i="20"/>
  <c r="AT51" i="20"/>
  <c r="AT83" i="20"/>
  <c r="AT96" i="20"/>
  <c r="AT28" i="20"/>
  <c r="O24" i="20"/>
  <c r="M24" i="20" s="1"/>
  <c r="O11" i="20"/>
  <c r="M11" i="20" s="1"/>
  <c r="AC11" i="20" s="1"/>
  <c r="O79" i="20"/>
  <c r="M79" i="20" s="1"/>
  <c r="AC79" i="20" s="1"/>
  <c r="O47" i="20"/>
  <c r="M47" i="20" s="1"/>
  <c r="AC47" i="20" s="1"/>
  <c r="AU60" i="20"/>
  <c r="O92" i="20"/>
  <c r="M92" i="20" s="1"/>
  <c r="AC92" i="20" s="1"/>
  <c r="O60" i="20"/>
  <c r="M60" i="20" s="1"/>
  <c r="AC60" i="20" s="1"/>
  <c r="N24" i="20"/>
  <c r="AU11" i="20"/>
  <c r="AU92" i="20"/>
  <c r="AU24" i="20"/>
  <c r="AT103" i="20"/>
  <c r="AT71" i="20"/>
  <c r="AT16" i="20"/>
  <c r="AT84" i="20"/>
  <c r="AT52" i="20"/>
  <c r="N11" i="20"/>
  <c r="N79" i="20"/>
  <c r="P79" i="20" s="1"/>
  <c r="AM79" i="20" s="1"/>
  <c r="N47" i="20"/>
  <c r="N92" i="20"/>
  <c r="P92" i="20" s="1"/>
  <c r="N60" i="20"/>
  <c r="P60" i="20" s="1"/>
  <c r="AM60" i="20" s="1"/>
  <c r="AU79" i="20"/>
  <c r="AU104" i="20"/>
  <c r="AT11" i="20"/>
  <c r="AT79" i="20"/>
  <c r="AT47" i="20"/>
  <c r="AT92" i="20"/>
  <c r="AT60" i="20"/>
  <c r="AT24" i="20"/>
  <c r="O83" i="20"/>
  <c r="M83" i="20" s="1"/>
  <c r="AC83" i="20" s="1"/>
  <c r="O84" i="20"/>
  <c r="M84" i="20" s="1"/>
  <c r="AC84" i="20" s="1"/>
  <c r="N28" i="20"/>
  <c r="O15" i="20"/>
  <c r="M15" i="20" s="1"/>
  <c r="AC15" i="20" s="1"/>
  <c r="O51" i="20"/>
  <c r="M51" i="20" s="1"/>
  <c r="AC51" i="20" s="1"/>
  <c r="O16" i="20"/>
  <c r="M16" i="20" s="1"/>
  <c r="AC16" i="20" s="1"/>
  <c r="AU19" i="20"/>
  <c r="O99" i="20"/>
  <c r="M99" i="20" s="1"/>
  <c r="AC99" i="20" s="1"/>
  <c r="O67" i="20"/>
  <c r="M67" i="20" s="1"/>
  <c r="AC67" i="20" s="1"/>
  <c r="O100" i="20"/>
  <c r="M100" i="20" s="1"/>
  <c r="AC100" i="20" s="1"/>
  <c r="O68" i="20"/>
  <c r="M68" i="20" s="1"/>
  <c r="AC68" i="20" s="1"/>
  <c r="N48" i="20"/>
  <c r="O35" i="20"/>
  <c r="M35" i="20" s="1"/>
  <c r="AC35" i="20" s="1"/>
  <c r="AU99" i="20"/>
  <c r="AU87" i="20"/>
  <c r="AU67" i="20"/>
  <c r="AU55" i="20"/>
  <c r="AU28" i="20"/>
  <c r="O19" i="20"/>
  <c r="O103" i="20"/>
  <c r="M103" i="20" s="1"/>
  <c r="AC103" i="20" s="1"/>
  <c r="O87" i="20"/>
  <c r="M87" i="20" s="1"/>
  <c r="AC87" i="20" s="1"/>
  <c r="O71" i="20"/>
  <c r="M71" i="20" s="1"/>
  <c r="AC71" i="20" s="1"/>
  <c r="O55" i="20"/>
  <c r="M55" i="20" s="1"/>
  <c r="AC55" i="20" s="1"/>
  <c r="O12" i="20"/>
  <c r="M12" i="20" s="1"/>
  <c r="AC12" i="20" s="1"/>
  <c r="O96" i="20"/>
  <c r="M96" i="20" s="1"/>
  <c r="AC96" i="20" s="1"/>
  <c r="O80" i="20"/>
  <c r="M80" i="20" s="1"/>
  <c r="AC80" i="20" s="1"/>
  <c r="O64" i="20"/>
  <c r="M64" i="20" s="1"/>
  <c r="AC64" i="20" s="1"/>
  <c r="N52" i="20"/>
  <c r="N32" i="20"/>
  <c r="O39" i="20"/>
  <c r="M39" i="20" s="1"/>
  <c r="AC39" i="20" s="1"/>
  <c r="O43" i="20"/>
  <c r="M43" i="20" s="1"/>
  <c r="AC43" i="20" s="1"/>
  <c r="AU15" i="20"/>
  <c r="AU100" i="20"/>
  <c r="AU80" i="20"/>
  <c r="AU68" i="20"/>
  <c r="AU48" i="20"/>
  <c r="AU32" i="20"/>
  <c r="AU35" i="20"/>
  <c r="AT43" i="20"/>
  <c r="B197" i="2"/>
  <c r="B186" i="2"/>
  <c r="B185" i="2"/>
  <c r="B180" i="2"/>
  <c r="M191" i="20"/>
  <c r="AJ191" i="20"/>
  <c r="AK191" i="20" s="1"/>
  <c r="M182" i="20"/>
  <c r="M207" i="20"/>
  <c r="AJ207" i="20"/>
  <c r="AK207" i="20" s="1"/>
  <c r="M199" i="20"/>
  <c r="AJ199" i="20"/>
  <c r="AK199" i="20" s="1"/>
  <c r="M188" i="20"/>
  <c r="Q193" i="20"/>
  <c r="R193" i="20" s="1"/>
  <c r="AM193" i="20"/>
  <c r="AJ193" i="20"/>
  <c r="AK193" i="20" s="1"/>
  <c r="M204" i="20"/>
  <c r="M165" i="20"/>
  <c r="M189" i="20"/>
  <c r="M172" i="20"/>
  <c r="M202" i="20"/>
  <c r="M194" i="20"/>
  <c r="M200" i="20"/>
  <c r="M163" i="20"/>
  <c r="P191" i="20"/>
  <c r="Q191" i="20" s="1"/>
  <c r="AJ205" i="20"/>
  <c r="AK205" i="20" s="1"/>
  <c r="AJ167" i="20"/>
  <c r="AK167" i="20" s="1"/>
  <c r="P167" i="20"/>
  <c r="Q167" i="20" s="1"/>
  <c r="R167" i="20" s="1"/>
  <c r="AQ116" i="20"/>
  <c r="AQ171" i="20"/>
  <c r="AQ193" i="20"/>
  <c r="AJ185" i="20"/>
  <c r="AK185" i="20" s="1"/>
  <c r="P151" i="20"/>
  <c r="S151" i="20" s="1"/>
  <c r="AJ160" i="20"/>
  <c r="AK160" i="20" s="1"/>
  <c r="AJ179" i="20"/>
  <c r="AK179" i="20" s="1"/>
  <c r="P179" i="20"/>
  <c r="U179" i="20" s="1"/>
  <c r="V179" i="20" s="1"/>
  <c r="W179" i="20" s="1"/>
  <c r="AJ206" i="20"/>
  <c r="AK206" i="20" s="1"/>
  <c r="P206" i="20"/>
  <c r="AH206" i="20" s="1"/>
  <c r="M196" i="20"/>
  <c r="M181" i="20"/>
  <c r="AM155" i="20"/>
  <c r="AQ155" i="20"/>
  <c r="AQ156" i="20"/>
  <c r="AM156" i="20"/>
  <c r="AM183" i="20"/>
  <c r="AQ183" i="20"/>
  <c r="AH118" i="20"/>
  <c r="AM118" i="20"/>
  <c r="M177" i="20"/>
  <c r="M195" i="20"/>
  <c r="M192" i="20"/>
  <c r="M173" i="20"/>
  <c r="M209" i="20"/>
  <c r="M159" i="20"/>
  <c r="AQ143" i="20"/>
  <c r="AM143" i="20"/>
  <c r="M168" i="20"/>
  <c r="P204" i="20"/>
  <c r="S204" i="20" s="1"/>
  <c r="P196" i="20"/>
  <c r="AH196" i="20" s="1"/>
  <c r="P181" i="20"/>
  <c r="AH181" i="20" s="1"/>
  <c r="P139" i="20"/>
  <c r="Q139" i="20" s="1"/>
  <c r="P172" i="20"/>
  <c r="AF172" i="20" s="1"/>
  <c r="AG172" i="20" s="1"/>
  <c r="P173" i="20"/>
  <c r="Q173" i="20" s="1"/>
  <c r="P159" i="20"/>
  <c r="S159" i="20" s="1"/>
  <c r="P152" i="20"/>
  <c r="AA152" i="20" s="1"/>
  <c r="AB152" i="20" s="1"/>
  <c r="AJ170" i="20"/>
  <c r="AK170" i="20" s="1"/>
  <c r="AQ95" i="20"/>
  <c r="AM95" i="20"/>
  <c r="AM108" i="20"/>
  <c r="AQ92" i="20"/>
  <c r="AM92" i="20"/>
  <c r="AJ116" i="20"/>
  <c r="AK116" i="20" s="1"/>
  <c r="AQ151" i="20"/>
  <c r="AJ143" i="20"/>
  <c r="AK143" i="20" s="1"/>
  <c r="AJ152" i="20"/>
  <c r="AK152" i="20" s="1"/>
  <c r="AJ155" i="20"/>
  <c r="AK155" i="20" s="1"/>
  <c r="Q155" i="20"/>
  <c r="R155" i="20" s="1"/>
  <c r="AJ139" i="20"/>
  <c r="AK139" i="20" s="1"/>
  <c r="AJ156" i="20"/>
  <c r="AK156" i="20" s="1"/>
  <c r="Q156" i="20"/>
  <c r="R156" i="20" s="1"/>
  <c r="AJ118" i="20"/>
  <c r="AK118" i="20" s="1"/>
  <c r="AQ118" i="20"/>
  <c r="P9" i="20"/>
  <c r="AD9" i="20" s="1"/>
  <c r="N19" i="20"/>
  <c r="N15" i="20"/>
  <c r="N103" i="20"/>
  <c r="P103" i="20" s="1"/>
  <c r="Q103" i="20" s="1"/>
  <c r="AS103" i="20" s="1"/>
  <c r="N99" i="20"/>
  <c r="P99" i="20" s="1"/>
  <c r="AM99" i="20" s="1"/>
  <c r="N87" i="20"/>
  <c r="P87" i="20" s="1"/>
  <c r="Q87" i="20" s="1"/>
  <c r="AS87" i="20" s="1"/>
  <c r="N83" i="20"/>
  <c r="P83" i="20" s="1"/>
  <c r="N71" i="20"/>
  <c r="P71" i="20" s="1"/>
  <c r="AM71" i="20" s="1"/>
  <c r="N67" i="20"/>
  <c r="P67" i="20" s="1"/>
  <c r="AJ67" i="20" s="1"/>
  <c r="AK67" i="20" s="1"/>
  <c r="N55" i="20"/>
  <c r="P55" i="20" s="1"/>
  <c r="N51" i="20"/>
  <c r="P51" i="20" s="1"/>
  <c r="AM51" i="20" s="1"/>
  <c r="N16" i="20"/>
  <c r="N12" i="20"/>
  <c r="N100" i="20"/>
  <c r="P100" i="20" s="1"/>
  <c r="AO100" i="20" s="1"/>
  <c r="AP100" i="20" s="1"/>
  <c r="N96" i="20"/>
  <c r="P96" i="20" s="1"/>
  <c r="AD96" i="20" s="1"/>
  <c r="N84" i="20"/>
  <c r="P84" i="20" s="1"/>
  <c r="AJ84" i="20" s="1"/>
  <c r="AK84" i="20" s="1"/>
  <c r="N80" i="20"/>
  <c r="P80" i="20" s="1"/>
  <c r="AM80" i="20" s="1"/>
  <c r="N68" i="20"/>
  <c r="P68" i="20" s="1"/>
  <c r="AM68" i="20" s="1"/>
  <c r="N64" i="20"/>
  <c r="P64" i="20" s="1"/>
  <c r="O52" i="20"/>
  <c r="M52" i="20" s="1"/>
  <c r="AC52" i="20" s="1"/>
  <c r="O48" i="20"/>
  <c r="M48" i="20" s="1"/>
  <c r="AC48" i="20" s="1"/>
  <c r="O32" i="20"/>
  <c r="P32" i="20" s="1"/>
  <c r="O28" i="20"/>
  <c r="N39" i="20"/>
  <c r="N35" i="20"/>
  <c r="N43" i="20"/>
  <c r="AU103" i="20"/>
  <c r="AU83" i="20"/>
  <c r="AU71" i="20"/>
  <c r="AU51" i="20"/>
  <c r="AU16" i="20"/>
  <c r="AU12" i="20"/>
  <c r="AU96" i="20"/>
  <c r="AU84" i="20"/>
  <c r="AU64" i="20"/>
  <c r="AU52" i="20"/>
  <c r="AU39" i="20"/>
  <c r="AU43" i="20"/>
  <c r="AT19" i="20"/>
  <c r="AT99" i="20"/>
  <c r="AT87" i="20"/>
  <c r="AT67" i="20"/>
  <c r="AT55" i="20"/>
  <c r="AT12" i="20"/>
  <c r="AT100" i="20"/>
  <c r="AT80" i="20"/>
  <c r="AT68" i="20"/>
  <c r="AT48" i="20"/>
  <c r="AT32" i="20"/>
  <c r="AT35" i="20"/>
  <c r="N88" i="20"/>
  <c r="AJ108" i="20"/>
  <c r="AK108" i="20" s="1"/>
  <c r="AJ100" i="20"/>
  <c r="AK100" i="20" s="1"/>
  <c r="AJ92" i="20"/>
  <c r="AK92" i="20" s="1"/>
  <c r="AJ103" i="20"/>
  <c r="AK103" i="20" s="1"/>
  <c r="AJ95" i="20"/>
  <c r="AK95" i="20" s="1"/>
  <c r="AJ96" i="20"/>
  <c r="AK96" i="20" s="1"/>
  <c r="N104" i="20"/>
  <c r="N72" i="20"/>
  <c r="N44" i="20"/>
  <c r="AU88" i="20"/>
  <c r="AU72" i="20"/>
  <c r="AU56" i="20"/>
  <c r="AT44" i="20"/>
  <c r="AT23" i="20"/>
  <c r="O59" i="20"/>
  <c r="M59" i="20" s="1"/>
  <c r="AC59" i="20" s="1"/>
  <c r="O20" i="20"/>
  <c r="P20" i="20" s="1"/>
  <c r="AD20" i="20" s="1"/>
  <c r="O104" i="20"/>
  <c r="M104" i="20" s="1"/>
  <c r="O88" i="20"/>
  <c r="O72" i="20"/>
  <c r="M72" i="20" s="1"/>
  <c r="AC72" i="20" s="1"/>
  <c r="O56" i="20"/>
  <c r="M56" i="20" s="1"/>
  <c r="AC56" i="20" s="1"/>
  <c r="O44" i="20"/>
  <c r="M44" i="20" s="1"/>
  <c r="AC44" i="20" s="1"/>
  <c r="AU20" i="20"/>
  <c r="AU44" i="20"/>
  <c r="AT20" i="20"/>
  <c r="AT104" i="20"/>
  <c r="AT88" i="20"/>
  <c r="AT72" i="20"/>
  <c r="AT56" i="20"/>
  <c r="AC104" i="20"/>
  <c r="O91" i="20"/>
  <c r="M91" i="20" s="1"/>
  <c r="AC91" i="20" s="1"/>
  <c r="O23" i="20"/>
  <c r="O107" i="20"/>
  <c r="M107" i="20" s="1"/>
  <c r="AC107" i="20" s="1"/>
  <c r="O75" i="20"/>
  <c r="M75" i="20" s="1"/>
  <c r="AC75" i="20" s="1"/>
  <c r="N36" i="20"/>
  <c r="AT107" i="20"/>
  <c r="AT91" i="20"/>
  <c r="AT75" i="20"/>
  <c r="AT59" i="20"/>
  <c r="N107" i="20"/>
  <c r="N91" i="20"/>
  <c r="P91" i="20" s="1"/>
  <c r="N75" i="20"/>
  <c r="P75" i="20" s="1"/>
  <c r="N59" i="20"/>
  <c r="P59" i="20" s="1"/>
  <c r="AM59" i="20" s="1"/>
  <c r="O36" i="20"/>
  <c r="M36" i="20" s="1"/>
  <c r="AC36" i="20" s="1"/>
  <c r="N23" i="20"/>
  <c r="AU107" i="20"/>
  <c r="AU91" i="20"/>
  <c r="AU75" i="20"/>
  <c r="AU59" i="20"/>
  <c r="AU36" i="20"/>
  <c r="AU23" i="20"/>
  <c r="AT36" i="20"/>
  <c r="AY31" i="20"/>
  <c r="BA31" i="20" s="1"/>
  <c r="AY30" i="20"/>
  <c r="BA30" i="20" s="1"/>
  <c r="AY105" i="20"/>
  <c r="BA105" i="20" s="1"/>
  <c r="AY97" i="20"/>
  <c r="BA97" i="20" s="1"/>
  <c r="AY89" i="20"/>
  <c r="BA89" i="20" s="1"/>
  <c r="AY81" i="20"/>
  <c r="BA81" i="20" s="1"/>
  <c r="AY73" i="20"/>
  <c r="BA73" i="20" s="1"/>
  <c r="AY65" i="20"/>
  <c r="BA65" i="20" s="1"/>
  <c r="AY102" i="20"/>
  <c r="BA102" i="20" s="1"/>
  <c r="AY94" i="20"/>
  <c r="BA94" i="20" s="1"/>
  <c r="AY86" i="20"/>
  <c r="BA86" i="20" s="1"/>
  <c r="AY78" i="20"/>
  <c r="BA78" i="20" s="1"/>
  <c r="AY70" i="20"/>
  <c r="BA70" i="20" s="1"/>
  <c r="AY62" i="20"/>
  <c r="BA62" i="20" s="1"/>
  <c r="AY34" i="20"/>
  <c r="BA34" i="20" s="1"/>
  <c r="AY29" i="20"/>
  <c r="BA29" i="20" s="1"/>
  <c r="AY25" i="20"/>
  <c r="BA25" i="20" s="1"/>
  <c r="AY109" i="20"/>
  <c r="BA109" i="20" s="1"/>
  <c r="AY101" i="20"/>
  <c r="BA101" i="20" s="1"/>
  <c r="AY93" i="20"/>
  <c r="BA93" i="20" s="1"/>
  <c r="AY85" i="20"/>
  <c r="BA85" i="20" s="1"/>
  <c r="AY77" i="20"/>
  <c r="BA77" i="20" s="1"/>
  <c r="AY69" i="20"/>
  <c r="BA69" i="20" s="1"/>
  <c r="AY61" i="20"/>
  <c r="BA61" i="20" s="1"/>
  <c r="AY106" i="20"/>
  <c r="BA106" i="20" s="1"/>
  <c r="AY98" i="20"/>
  <c r="BA98" i="20" s="1"/>
  <c r="AY90" i="20"/>
  <c r="BA90" i="20" s="1"/>
  <c r="AY82" i="20"/>
  <c r="BA82" i="20" s="1"/>
  <c r="AY74" i="20"/>
  <c r="BA74" i="20" s="1"/>
  <c r="AY66" i="20"/>
  <c r="BA66" i="20" s="1"/>
  <c r="AY26" i="20"/>
  <c r="BA26" i="20" s="1"/>
  <c r="AY33" i="20"/>
  <c r="BA33" i="20" s="1"/>
  <c r="P27" i="20"/>
  <c r="AD27" i="20" s="1"/>
  <c r="AA116" i="20"/>
  <c r="AB116" i="20" s="1"/>
  <c r="Q116" i="20"/>
  <c r="R116" i="20" s="1"/>
  <c r="AO116" i="20"/>
  <c r="AP116" i="20" s="1"/>
  <c r="AO183" i="20"/>
  <c r="AP183" i="20" s="1"/>
  <c r="AA183" i="20"/>
  <c r="AB183" i="20" s="1"/>
  <c r="P69" i="21"/>
  <c r="AD69" i="21" s="1"/>
  <c r="P89" i="21"/>
  <c r="AD89" i="21" s="1"/>
  <c r="P109" i="21"/>
  <c r="AD109" i="21" s="1"/>
  <c r="M109" i="21"/>
  <c r="P105" i="21"/>
  <c r="AD105" i="21" s="1"/>
  <c r="M105" i="21"/>
  <c r="P101" i="21"/>
  <c r="AD101" i="21" s="1"/>
  <c r="M101" i="21"/>
  <c r="P97" i="21"/>
  <c r="AD97" i="21" s="1"/>
  <c r="M97" i="21"/>
  <c r="P93" i="21"/>
  <c r="AD93" i="21" s="1"/>
  <c r="M93" i="21"/>
  <c r="P83" i="21"/>
  <c r="AD83" i="21" s="1"/>
  <c r="M83" i="21"/>
  <c r="P75" i="21"/>
  <c r="AD75" i="21" s="1"/>
  <c r="M75" i="21"/>
  <c r="P85" i="21"/>
  <c r="X85" i="21" s="1"/>
  <c r="M85" i="21"/>
  <c r="P81" i="21"/>
  <c r="X81" i="21" s="1"/>
  <c r="P74" i="21"/>
  <c r="AH74" i="21" s="1"/>
  <c r="P46" i="21"/>
  <c r="P59" i="21"/>
  <c r="AH59" i="21" s="1"/>
  <c r="P20" i="21"/>
  <c r="AD20" i="21" s="1"/>
  <c r="P13" i="21"/>
  <c r="P19" i="21"/>
  <c r="P29" i="21"/>
  <c r="AJ29" i="21" s="1"/>
  <c r="P45" i="21"/>
  <c r="AD45" i="21" s="1"/>
  <c r="P68" i="21"/>
  <c r="AH68" i="21" s="1"/>
  <c r="P38" i="21"/>
  <c r="P61" i="21"/>
  <c r="P65" i="21"/>
  <c r="P72" i="21"/>
  <c r="AH72" i="21" s="1"/>
  <c r="P22" i="21"/>
  <c r="AD22" i="21" s="1"/>
  <c r="P39" i="21"/>
  <c r="P54" i="21"/>
  <c r="AD54" i="21" s="1"/>
  <c r="P36" i="21"/>
  <c r="S36" i="21" s="1"/>
  <c r="P80" i="21"/>
  <c r="AJ80" i="21" s="1"/>
  <c r="AK80" i="21" s="1"/>
  <c r="P88" i="21"/>
  <c r="P76" i="21"/>
  <c r="AD76" i="21" s="1"/>
  <c r="P70" i="21"/>
  <c r="AH70" i="21" s="1"/>
  <c r="P106" i="21"/>
  <c r="AD106" i="21" s="1"/>
  <c r="P102" i="21"/>
  <c r="AH102" i="21" s="1"/>
  <c r="P98" i="21"/>
  <c r="AH98" i="21" s="1"/>
  <c r="P94" i="21"/>
  <c r="AH94" i="21" s="1"/>
  <c r="P51" i="21"/>
  <c r="P32" i="21"/>
  <c r="P18" i="21"/>
  <c r="AD18" i="21" s="1"/>
  <c r="P12" i="21"/>
  <c r="P16" i="21"/>
  <c r="P25" i="21"/>
  <c r="P41" i="21"/>
  <c r="P56" i="21"/>
  <c r="AF56" i="21" s="1"/>
  <c r="P31" i="21"/>
  <c r="P60" i="21"/>
  <c r="P64" i="21"/>
  <c r="P34" i="21"/>
  <c r="P50" i="21"/>
  <c r="P35" i="21"/>
  <c r="AM35" i="21" s="1"/>
  <c r="P55" i="21"/>
  <c r="AD55" i="21" s="1"/>
  <c r="P86" i="21"/>
  <c r="AA86" i="21" s="1"/>
  <c r="AB86" i="21" s="1"/>
  <c r="P78" i="21"/>
  <c r="P71" i="21"/>
  <c r="P107" i="21"/>
  <c r="P103" i="21"/>
  <c r="P99" i="21"/>
  <c r="P95" i="21"/>
  <c r="P91" i="21"/>
  <c r="P42" i="21"/>
  <c r="S42" i="21" s="1"/>
  <c r="P17" i="21"/>
  <c r="P11" i="21"/>
  <c r="AA11" i="21" s="1"/>
  <c r="AB11" i="21" s="1"/>
  <c r="P15" i="21"/>
  <c r="AD15" i="21" s="1"/>
  <c r="P23" i="21"/>
  <c r="P37" i="21"/>
  <c r="P52" i="21"/>
  <c r="AM52" i="21" s="1"/>
  <c r="P30" i="21"/>
  <c r="AD30" i="21" s="1"/>
  <c r="P58" i="21"/>
  <c r="AH58" i="21" s="1"/>
  <c r="P63" i="21"/>
  <c r="AD63" i="21" s="1"/>
  <c r="P67" i="21"/>
  <c r="S67" i="21" s="1"/>
  <c r="P77" i="21"/>
  <c r="AA77" i="21" s="1"/>
  <c r="AB77" i="21" s="1"/>
  <c r="P87" i="21"/>
  <c r="P28" i="21"/>
  <c r="AJ28" i="21" s="1"/>
  <c r="P47" i="21"/>
  <c r="AD47" i="21" s="1"/>
  <c r="P27" i="21"/>
  <c r="P49" i="21"/>
  <c r="AD49" i="21" s="1"/>
  <c r="P84" i="21"/>
  <c r="AH84" i="21" s="1"/>
  <c r="P79" i="21"/>
  <c r="P73" i="21"/>
  <c r="P108" i="21"/>
  <c r="P104" i="21"/>
  <c r="P100" i="21"/>
  <c r="P96" i="21"/>
  <c r="P92" i="21"/>
  <c r="P44" i="21"/>
  <c r="AH44" i="21" s="1"/>
  <c r="P10" i="21"/>
  <c r="P9" i="21"/>
  <c r="AQ9" i="21" s="1"/>
  <c r="P14" i="21"/>
  <c r="AD14" i="21" s="1"/>
  <c r="P21" i="21"/>
  <c r="AA21" i="21" s="1"/>
  <c r="AB21" i="21" s="1"/>
  <c r="P33" i="21"/>
  <c r="P48" i="21"/>
  <c r="AM48" i="21" s="1"/>
  <c r="P24" i="21"/>
  <c r="AD24" i="21" s="1"/>
  <c r="P53" i="21"/>
  <c r="AH53" i="21" s="1"/>
  <c r="P62" i="21"/>
  <c r="AD62" i="21" s="1"/>
  <c r="P66" i="21"/>
  <c r="AH66" i="21" s="1"/>
  <c r="P26" i="21"/>
  <c r="AJ26" i="21" s="1"/>
  <c r="P43" i="21"/>
  <c r="AD43" i="21" s="1"/>
  <c r="P57" i="21"/>
  <c r="AH57" i="21" s="1"/>
  <c r="P40" i="21"/>
  <c r="P82" i="21"/>
  <c r="S82" i="21" s="1"/>
  <c r="P90" i="21"/>
  <c r="Q90" i="21" s="1"/>
  <c r="AF116" i="20"/>
  <c r="AO156" i="20"/>
  <c r="AP156" i="20" s="1"/>
  <c r="Q183" i="20"/>
  <c r="AA156" i="20"/>
  <c r="AB156" i="20" s="1"/>
  <c r="AF143" i="20"/>
  <c r="AG143" i="20" s="1"/>
  <c r="Q143" i="20"/>
  <c r="AF156" i="20"/>
  <c r="AG156" i="20" s="1"/>
  <c r="AF183" i="20"/>
  <c r="AH183" i="20"/>
  <c r="AJ87" i="20"/>
  <c r="AK87" i="20" s="1"/>
  <c r="P199" i="20"/>
  <c r="P188" i="20"/>
  <c r="P115" i="20"/>
  <c r="AM115" i="20" s="1"/>
  <c r="AO171" i="20"/>
  <c r="AP171" i="20" s="1"/>
  <c r="S171" i="20"/>
  <c r="AD171" i="20"/>
  <c r="U171" i="20"/>
  <c r="V171" i="20" s="1"/>
  <c r="W171" i="20" s="1"/>
  <c r="AF171" i="20"/>
  <c r="Q171" i="20"/>
  <c r="P117" i="20"/>
  <c r="AM117" i="20" s="1"/>
  <c r="P166" i="20"/>
  <c r="P150" i="20"/>
  <c r="AM150" i="20" s="1"/>
  <c r="P134" i="20"/>
  <c r="AM134" i="20" s="1"/>
  <c r="P161" i="20"/>
  <c r="P203" i="20"/>
  <c r="P208" i="20"/>
  <c r="P182" i="20"/>
  <c r="P207" i="20"/>
  <c r="P180" i="20"/>
  <c r="P205" i="20"/>
  <c r="P197" i="20"/>
  <c r="P147" i="20"/>
  <c r="AM147" i="20" s="1"/>
  <c r="P131" i="20"/>
  <c r="AM131" i="20" s="1"/>
  <c r="P123" i="20"/>
  <c r="AM123" i="20" s="1"/>
  <c r="P164" i="20"/>
  <c r="P148" i="20"/>
  <c r="P124" i="20"/>
  <c r="AM124" i="20" s="1"/>
  <c r="AH116" i="20"/>
  <c r="S116" i="20"/>
  <c r="AD116" i="20"/>
  <c r="U116" i="20"/>
  <c r="V116" i="20" s="1"/>
  <c r="W116" i="20" s="1"/>
  <c r="X116" i="20"/>
  <c r="Y116" i="20" s="1"/>
  <c r="Z116" i="20" s="1"/>
  <c r="AH171" i="20"/>
  <c r="AA171" i="20"/>
  <c r="AB171" i="20" s="1"/>
  <c r="P201" i="20"/>
  <c r="AF193" i="20"/>
  <c r="S193" i="20"/>
  <c r="U193" i="20"/>
  <c r="V193" i="20" s="1"/>
  <c r="W193" i="20" s="1"/>
  <c r="AD193" i="20"/>
  <c r="AA193" i="20"/>
  <c r="AB193" i="20" s="1"/>
  <c r="X193" i="20"/>
  <c r="Y193" i="20" s="1"/>
  <c r="Z193" i="20" s="1"/>
  <c r="P185" i="20"/>
  <c r="P127" i="20"/>
  <c r="AM127" i="20" s="1"/>
  <c r="P136" i="20"/>
  <c r="AM136" i="20" s="1"/>
  <c r="P120" i="20"/>
  <c r="AM120" i="20" s="1"/>
  <c r="P137" i="20"/>
  <c r="AM137" i="20" s="1"/>
  <c r="P178" i="20"/>
  <c r="P162" i="20"/>
  <c r="P146" i="20"/>
  <c r="AM146" i="20" s="1"/>
  <c r="P130" i="20"/>
  <c r="AM130" i="20" s="1"/>
  <c r="P122" i="20"/>
  <c r="AM122" i="20" s="1"/>
  <c r="P198" i="20"/>
  <c r="P189" i="20"/>
  <c r="S155" i="20"/>
  <c r="U155" i="20"/>
  <c r="V155" i="20" s="1"/>
  <c r="W155" i="20" s="1"/>
  <c r="AD155" i="20"/>
  <c r="AO155" i="20"/>
  <c r="AP155" i="20" s="1"/>
  <c r="P132" i="20"/>
  <c r="P158" i="20"/>
  <c r="P142" i="20"/>
  <c r="AM142" i="20" s="1"/>
  <c r="AA118" i="20"/>
  <c r="AB118" i="20" s="1"/>
  <c r="S118" i="20"/>
  <c r="U118" i="20"/>
  <c r="V118" i="20" s="1"/>
  <c r="W118" i="20" s="1"/>
  <c r="AD118" i="20"/>
  <c r="AF118" i="20"/>
  <c r="X118" i="20"/>
  <c r="Y118" i="20" s="1"/>
  <c r="Z118" i="20" s="1"/>
  <c r="P194" i="20"/>
  <c r="P186" i="20"/>
  <c r="P177" i="20"/>
  <c r="P200" i="20"/>
  <c r="P209" i="20"/>
  <c r="S143" i="20"/>
  <c r="U143" i="20"/>
  <c r="V143" i="20" s="1"/>
  <c r="W143" i="20" s="1"/>
  <c r="AD143" i="20"/>
  <c r="P119" i="20"/>
  <c r="AM119" i="20" s="1"/>
  <c r="P112" i="20"/>
  <c r="AM112" i="20" s="1"/>
  <c r="P145" i="20"/>
  <c r="AM145" i="20" s="1"/>
  <c r="P129" i="20"/>
  <c r="AM129" i="20" s="1"/>
  <c r="P121" i="20"/>
  <c r="AM121" i="20" s="1"/>
  <c r="P170" i="20"/>
  <c r="P154" i="20"/>
  <c r="AM154" i="20" s="1"/>
  <c r="P138" i="20"/>
  <c r="AM138" i="20" s="1"/>
  <c r="P114" i="20"/>
  <c r="AM114" i="20" s="1"/>
  <c r="X171" i="20"/>
  <c r="Y171" i="20" s="1"/>
  <c r="Z171" i="20" s="1"/>
  <c r="P149" i="20"/>
  <c r="P133" i="20"/>
  <c r="AM133" i="20" s="1"/>
  <c r="P125" i="20"/>
  <c r="AM125" i="20" s="1"/>
  <c r="P126" i="20"/>
  <c r="AM126" i="20" s="1"/>
  <c r="P110" i="20"/>
  <c r="AM110" i="20" s="1"/>
  <c r="P184" i="20"/>
  <c r="AO193" i="20"/>
  <c r="AP193" i="20" s="1"/>
  <c r="AH193" i="20"/>
  <c r="P175" i="20"/>
  <c r="P135" i="20"/>
  <c r="AM135" i="20" s="1"/>
  <c r="P111" i="20"/>
  <c r="AM111" i="20" s="1"/>
  <c r="P176" i="20"/>
  <c r="P160" i="20"/>
  <c r="P187" i="20"/>
  <c r="P153" i="20"/>
  <c r="AM153" i="20" s="1"/>
  <c r="P113" i="20"/>
  <c r="AM113" i="20" s="1"/>
  <c r="P190" i="20"/>
  <c r="P169" i="20"/>
  <c r="P165" i="20"/>
  <c r="AF155" i="20"/>
  <c r="AA155" i="20"/>
  <c r="AB155" i="20" s="1"/>
  <c r="AH155" i="20"/>
  <c r="X155" i="20"/>
  <c r="Y155" i="20" s="1"/>
  <c r="Z155" i="20" s="1"/>
  <c r="AH156" i="20"/>
  <c r="S156" i="20"/>
  <c r="U156" i="20"/>
  <c r="V156" i="20" s="1"/>
  <c r="W156" i="20" s="1"/>
  <c r="AD156" i="20"/>
  <c r="X156" i="20"/>
  <c r="Y156" i="20" s="1"/>
  <c r="Z156" i="20" s="1"/>
  <c r="P140" i="20"/>
  <c r="AM140" i="20" s="1"/>
  <c r="S183" i="20"/>
  <c r="U183" i="20"/>
  <c r="V183" i="20" s="1"/>
  <c r="W183" i="20" s="1"/>
  <c r="AD183" i="20"/>
  <c r="X183" i="20"/>
  <c r="Y183" i="20" s="1"/>
  <c r="Z183" i="20" s="1"/>
  <c r="P157" i="20"/>
  <c r="P141" i="20"/>
  <c r="AM141" i="20" s="1"/>
  <c r="P174" i="20"/>
  <c r="Q118" i="20"/>
  <c r="AO118" i="20"/>
  <c r="AP118" i="20" s="1"/>
  <c r="P202" i="20"/>
  <c r="P195" i="20"/>
  <c r="P192" i="20"/>
  <c r="AA143" i="20"/>
  <c r="AB143" i="20" s="1"/>
  <c r="AO143" i="20"/>
  <c r="AP143" i="20" s="1"/>
  <c r="AH143" i="20"/>
  <c r="X143" i="20"/>
  <c r="Y143" i="20" s="1"/>
  <c r="Z143" i="20" s="1"/>
  <c r="P168" i="20"/>
  <c r="P144" i="20"/>
  <c r="AM144" i="20" s="1"/>
  <c r="P128" i="20"/>
  <c r="AM128" i="20" s="1"/>
  <c r="P163" i="20"/>
  <c r="AM55" i="20"/>
  <c r="AT14" i="20"/>
  <c r="AT29" i="20"/>
  <c r="AT17" i="20"/>
  <c r="AT109" i="20"/>
  <c r="AT101" i="20"/>
  <c r="AT93" i="20"/>
  <c r="AT69" i="20"/>
  <c r="AT18" i="20"/>
  <c r="AT82" i="20"/>
  <c r="AT74" i="20"/>
  <c r="AT50" i="20"/>
  <c r="AT46" i="20"/>
  <c r="AT38" i="20"/>
  <c r="AT26" i="20"/>
  <c r="AT33" i="20"/>
  <c r="AT31" i="20"/>
  <c r="AT30" i="20"/>
  <c r="AT25" i="20"/>
  <c r="AT41" i="20"/>
  <c r="AT13" i="20"/>
  <c r="AT105" i="20"/>
  <c r="AT97" i="20"/>
  <c r="AT89" i="20"/>
  <c r="AT81" i="20"/>
  <c r="AT73" i="20"/>
  <c r="AT65" i="20"/>
  <c r="AT57" i="20"/>
  <c r="AT49" i="20"/>
  <c r="AT10" i="20"/>
  <c r="AT102" i="20"/>
  <c r="AT94" i="20"/>
  <c r="AT86" i="20"/>
  <c r="AT78" i="20"/>
  <c r="AT70" i="20"/>
  <c r="AT62" i="20"/>
  <c r="AT54" i="20"/>
  <c r="AT45" i="20"/>
  <c r="AT42" i="20"/>
  <c r="AT34" i="20"/>
  <c r="AT37" i="20"/>
  <c r="AT21" i="20"/>
  <c r="AQ75" i="20"/>
  <c r="AQ80" i="20"/>
  <c r="AQ68" i="20"/>
  <c r="AJ60" i="20"/>
  <c r="AK60" i="20" s="1"/>
  <c r="AQ64" i="20"/>
  <c r="AT85" i="20"/>
  <c r="AT77" i="20"/>
  <c r="AT61" i="20"/>
  <c r="AT53" i="20"/>
  <c r="AT106" i="20"/>
  <c r="AT98" i="20"/>
  <c r="AT90" i="20"/>
  <c r="AT66" i="20"/>
  <c r="AT58" i="20"/>
  <c r="AU30" i="20"/>
  <c r="AU29" i="20"/>
  <c r="AU25" i="20"/>
  <c r="BA41" i="20"/>
  <c r="AU41" i="20"/>
  <c r="BA13" i="20"/>
  <c r="AU13" i="20"/>
  <c r="AU105" i="20"/>
  <c r="AU97" i="20"/>
  <c r="AU89" i="20"/>
  <c r="AU81" i="20"/>
  <c r="AU73" i="20"/>
  <c r="AU65" i="20"/>
  <c r="BA57" i="20"/>
  <c r="AU57" i="20"/>
  <c r="BA49" i="20"/>
  <c r="AU49" i="20"/>
  <c r="BA10" i="20"/>
  <c r="AU10" i="20"/>
  <c r="AU102" i="20"/>
  <c r="AU94" i="20"/>
  <c r="AU86" i="20"/>
  <c r="AU78" i="20"/>
  <c r="AU70" i="20"/>
  <c r="AU62" i="20"/>
  <c r="BA54" i="20"/>
  <c r="AU54" i="20"/>
  <c r="BA45" i="20"/>
  <c r="AU45" i="20"/>
  <c r="BA42" i="20"/>
  <c r="AU42" i="20"/>
  <c r="AU34" i="20"/>
  <c r="BA37" i="20"/>
  <c r="AU37" i="20"/>
  <c r="BA21" i="20"/>
  <c r="AU21" i="20"/>
  <c r="M22" i="20"/>
  <c r="AC22" i="20" s="1"/>
  <c r="AU31" i="20"/>
  <c r="BA14" i="20"/>
  <c r="AU14" i="20"/>
  <c r="BA17" i="20"/>
  <c r="AU17" i="20"/>
  <c r="AU109" i="20"/>
  <c r="AU101" i="20"/>
  <c r="AU93" i="20"/>
  <c r="AU85" i="20"/>
  <c r="AU77" i="20"/>
  <c r="AU69" i="20"/>
  <c r="AU61" i="20"/>
  <c r="BA53" i="20"/>
  <c r="AU53" i="20"/>
  <c r="BA18" i="20"/>
  <c r="AU18" i="20"/>
  <c r="AU106" i="20"/>
  <c r="AU98" i="20"/>
  <c r="AU90" i="20"/>
  <c r="AU82" i="20"/>
  <c r="AU74" i="20"/>
  <c r="AU66" i="20"/>
  <c r="BA58" i="20"/>
  <c r="AU58" i="20"/>
  <c r="BA50" i="20"/>
  <c r="AU50" i="20"/>
  <c r="BA46" i="20"/>
  <c r="AU46" i="20"/>
  <c r="BA38" i="20"/>
  <c r="AU38" i="20"/>
  <c r="AU26" i="20"/>
  <c r="AU33" i="20"/>
  <c r="M9" i="20"/>
  <c r="AC9" i="20" s="1"/>
  <c r="O30" i="20"/>
  <c r="N30" i="20"/>
  <c r="N29" i="20"/>
  <c r="O29" i="20"/>
  <c r="N25" i="20"/>
  <c r="O25" i="20"/>
  <c r="O17" i="20"/>
  <c r="N17" i="20"/>
  <c r="O109" i="20"/>
  <c r="M109" i="20" s="1"/>
  <c r="AC109" i="20" s="1"/>
  <c r="N109" i="20"/>
  <c r="O101" i="20"/>
  <c r="M101" i="20" s="1"/>
  <c r="AC101" i="20" s="1"/>
  <c r="N101" i="20"/>
  <c r="O93" i="20"/>
  <c r="M93" i="20" s="1"/>
  <c r="AC93" i="20" s="1"/>
  <c r="N93" i="20"/>
  <c r="O85" i="20"/>
  <c r="M85" i="20" s="1"/>
  <c r="AC85" i="20" s="1"/>
  <c r="N85" i="20"/>
  <c r="O77" i="20"/>
  <c r="M77" i="20" s="1"/>
  <c r="AC77" i="20" s="1"/>
  <c r="N77" i="20"/>
  <c r="O69" i="20"/>
  <c r="M69" i="20" s="1"/>
  <c r="AC69" i="20" s="1"/>
  <c r="N69" i="20"/>
  <c r="N61" i="20"/>
  <c r="O61" i="20"/>
  <c r="M61" i="20" s="1"/>
  <c r="AC61" i="20" s="1"/>
  <c r="N53" i="20"/>
  <c r="O53" i="20"/>
  <c r="M53" i="20" s="1"/>
  <c r="AC53" i="20" s="1"/>
  <c r="O18" i="20"/>
  <c r="N18" i="20"/>
  <c r="O106" i="20"/>
  <c r="M106" i="20" s="1"/>
  <c r="AC106" i="20" s="1"/>
  <c r="N106" i="20"/>
  <c r="O98" i="20"/>
  <c r="M98" i="20" s="1"/>
  <c r="AC98" i="20" s="1"/>
  <c r="N98" i="20"/>
  <c r="O90" i="20"/>
  <c r="M90" i="20" s="1"/>
  <c r="AC90" i="20" s="1"/>
  <c r="N90" i="20"/>
  <c r="O82" i="20"/>
  <c r="M82" i="20" s="1"/>
  <c r="AC82" i="20" s="1"/>
  <c r="N82" i="20"/>
  <c r="O74" i="20"/>
  <c r="M74" i="20" s="1"/>
  <c r="AC74" i="20" s="1"/>
  <c r="N74" i="20"/>
  <c r="O66" i="20"/>
  <c r="M66" i="20" s="1"/>
  <c r="AC66" i="20" s="1"/>
  <c r="N66" i="20"/>
  <c r="O58" i="20"/>
  <c r="M58" i="20" s="1"/>
  <c r="AC58" i="20" s="1"/>
  <c r="N58" i="20"/>
  <c r="O50" i="20"/>
  <c r="M50" i="20" s="1"/>
  <c r="AC50" i="20" s="1"/>
  <c r="N50" i="20"/>
  <c r="O46" i="20"/>
  <c r="M46" i="20" s="1"/>
  <c r="AC46" i="20" s="1"/>
  <c r="N46" i="20"/>
  <c r="O38" i="20"/>
  <c r="M38" i="20" s="1"/>
  <c r="AC38" i="20" s="1"/>
  <c r="N38" i="20"/>
  <c r="O26" i="20"/>
  <c r="N26" i="20"/>
  <c r="N33" i="20"/>
  <c r="O33" i="20"/>
  <c r="N31" i="20"/>
  <c r="O31" i="20"/>
  <c r="O14" i="20"/>
  <c r="N14" i="20"/>
  <c r="N41" i="20"/>
  <c r="O41" i="20"/>
  <c r="M41" i="20" s="1"/>
  <c r="AC41" i="20" s="1"/>
  <c r="O13" i="20"/>
  <c r="N13" i="20"/>
  <c r="O105" i="20"/>
  <c r="M105" i="20" s="1"/>
  <c r="AC105" i="20" s="1"/>
  <c r="N105" i="20"/>
  <c r="O97" i="20"/>
  <c r="M97" i="20" s="1"/>
  <c r="AC97" i="20" s="1"/>
  <c r="N97" i="20"/>
  <c r="O89" i="20"/>
  <c r="M89" i="20" s="1"/>
  <c r="AC89" i="20" s="1"/>
  <c r="N89" i="20"/>
  <c r="O81" i="20"/>
  <c r="M81" i="20" s="1"/>
  <c r="AC81" i="20" s="1"/>
  <c r="N81" i="20"/>
  <c r="O73" i="20"/>
  <c r="M73" i="20" s="1"/>
  <c r="AC73" i="20" s="1"/>
  <c r="N73" i="20"/>
  <c r="N65" i="20"/>
  <c r="O65" i="20"/>
  <c r="M65" i="20" s="1"/>
  <c r="AC65" i="20" s="1"/>
  <c r="N57" i="20"/>
  <c r="O57" i="20"/>
  <c r="M57" i="20" s="1"/>
  <c r="AC57" i="20" s="1"/>
  <c r="N49" i="20"/>
  <c r="O49" i="20"/>
  <c r="M49" i="20" s="1"/>
  <c r="AC49" i="20" s="1"/>
  <c r="O10" i="20"/>
  <c r="N10" i="20"/>
  <c r="O102" i="20"/>
  <c r="M102" i="20" s="1"/>
  <c r="AC102" i="20" s="1"/>
  <c r="N102" i="20"/>
  <c r="O94" i="20"/>
  <c r="M94" i="20" s="1"/>
  <c r="AC94" i="20" s="1"/>
  <c r="N94" i="20"/>
  <c r="O86" i="20"/>
  <c r="M86" i="20" s="1"/>
  <c r="AC86" i="20" s="1"/>
  <c r="N86" i="20"/>
  <c r="O78" i="20"/>
  <c r="M78" i="20" s="1"/>
  <c r="AC78" i="20" s="1"/>
  <c r="N78" i="20"/>
  <c r="O70" i="20"/>
  <c r="M70" i="20" s="1"/>
  <c r="AC70" i="20" s="1"/>
  <c r="N70" i="20"/>
  <c r="O62" i="20"/>
  <c r="M62" i="20" s="1"/>
  <c r="AC62" i="20" s="1"/>
  <c r="N62" i="20"/>
  <c r="O54" i="20"/>
  <c r="M54" i="20" s="1"/>
  <c r="AC54" i="20" s="1"/>
  <c r="N54" i="20"/>
  <c r="N45" i="20"/>
  <c r="O45" i="20"/>
  <c r="M45" i="20" s="1"/>
  <c r="AC45" i="20" s="1"/>
  <c r="O42" i="20"/>
  <c r="M42" i="20" s="1"/>
  <c r="AC42" i="20" s="1"/>
  <c r="N42" i="20"/>
  <c r="O34" i="20"/>
  <c r="M34" i="20" s="1"/>
  <c r="AC34" i="20" s="1"/>
  <c r="N34" i="20"/>
  <c r="N37" i="20"/>
  <c r="O37" i="20"/>
  <c r="M37" i="20" s="1"/>
  <c r="AC37" i="20" s="1"/>
  <c r="O21" i="20"/>
  <c r="N21" i="20"/>
  <c r="N22" i="20"/>
  <c r="P22" i="20" s="1"/>
  <c r="AD32" i="20"/>
  <c r="C78" i="2"/>
  <c r="B190" i="2"/>
  <c r="B191" i="2"/>
  <c r="B85" i="2"/>
  <c r="F85" i="2"/>
  <c r="E85" i="2"/>
  <c r="B196" i="2"/>
  <c r="B174" i="2"/>
  <c r="B264" i="2"/>
  <c r="F266" i="2"/>
  <c r="B266" i="2"/>
  <c r="D408" i="2"/>
  <c r="D407" i="2"/>
  <c r="B129" i="2"/>
  <c r="K134" i="2" s="1"/>
  <c r="M134" i="2" s="1"/>
  <c r="L104" i="2"/>
  <c r="P104" i="2" s="1"/>
  <c r="K104" i="2"/>
  <c r="E20" i="1"/>
  <c r="F92" i="2"/>
  <c r="B162" i="2"/>
  <c r="B92" i="2"/>
  <c r="E23" i="1" s="1"/>
  <c r="B104" i="2"/>
  <c r="B118" i="2" s="1"/>
  <c r="B151" i="2"/>
  <c r="K317" i="2"/>
  <c r="B276" i="2"/>
  <c r="B283" i="2"/>
  <c r="B274" i="2"/>
  <c r="B313" i="2"/>
  <c r="K5" i="17" s="1"/>
  <c r="B282" i="2"/>
  <c r="K150" i="2"/>
  <c r="K149" i="2"/>
  <c r="L150" i="2"/>
  <c r="L149" i="2"/>
  <c r="C79" i="2"/>
  <c r="B79" i="2"/>
  <c r="B78" i="2"/>
  <c r="A452" i="2"/>
  <c r="C69" i="16"/>
  <c r="D69" i="16" s="1"/>
  <c r="B415" i="2"/>
  <c r="B416" i="2" s="1"/>
  <c r="P40" i="20" l="1"/>
  <c r="AF40" i="20" s="1"/>
  <c r="B170" i="2"/>
  <c r="B102" i="2"/>
  <c r="P35" i="20"/>
  <c r="AO35" i="20" s="1"/>
  <c r="AP35" i="20" s="1"/>
  <c r="AQ60" i="20"/>
  <c r="AJ64" i="20"/>
  <c r="AK64" i="20" s="1"/>
  <c r="AJ59" i="20"/>
  <c r="AK59" i="20" s="1"/>
  <c r="P47" i="20"/>
  <c r="AA47" i="20" s="1"/>
  <c r="AB47" i="20" s="1"/>
  <c r="P48" i="20"/>
  <c r="AQ48" i="20" s="1"/>
  <c r="AQ63" i="20"/>
  <c r="P43" i="20"/>
  <c r="AQ43" i="20" s="1"/>
  <c r="P24" i="20"/>
  <c r="AJ24" i="20" s="1"/>
  <c r="AK24" i="20" s="1"/>
  <c r="X196" i="20"/>
  <c r="Y196" i="20" s="1"/>
  <c r="Z196" i="20" s="1"/>
  <c r="X173" i="20"/>
  <c r="Y173" i="20" s="1"/>
  <c r="Z173" i="20" s="1"/>
  <c r="U173" i="20"/>
  <c r="V173" i="20" s="1"/>
  <c r="W173" i="20" s="1"/>
  <c r="Q196" i="20"/>
  <c r="R196" i="20" s="1"/>
  <c r="AH173" i="20"/>
  <c r="P15" i="20"/>
  <c r="AD15" i="20" s="1"/>
  <c r="U167" i="20"/>
  <c r="V167" i="20" s="1"/>
  <c r="W167" i="20" s="1"/>
  <c r="AF146" i="20"/>
  <c r="AG146" i="20" s="1"/>
  <c r="AA172" i="20"/>
  <c r="AB172" i="20" s="1"/>
  <c r="U95" i="20"/>
  <c r="V95" i="20" s="1"/>
  <c r="W95" i="20" s="1"/>
  <c r="S103" i="20"/>
  <c r="AM64" i="20"/>
  <c r="AO64" i="20"/>
  <c r="AP64" i="20" s="1"/>
  <c r="AR64" i="20" s="1"/>
  <c r="AH151" i="20"/>
  <c r="S179" i="20"/>
  <c r="AA151" i="20"/>
  <c r="AB151" i="20" s="1"/>
  <c r="Q152" i="20"/>
  <c r="R152" i="20" s="1"/>
  <c r="P16" i="20"/>
  <c r="AJ16" i="20" s="1"/>
  <c r="AH139" i="20"/>
  <c r="P11" i="20"/>
  <c r="AD11" i="20" s="1"/>
  <c r="AD24" i="20"/>
  <c r="AH24" i="20"/>
  <c r="AO92" i="20"/>
  <c r="AP92" i="20" s="1"/>
  <c r="AR92" i="20" s="1"/>
  <c r="AF92" i="20"/>
  <c r="AH20" i="20"/>
  <c r="Q64" i="20"/>
  <c r="AS64" i="20" s="1"/>
  <c r="Q95" i="20"/>
  <c r="AS95" i="20" s="1"/>
  <c r="B149" i="2"/>
  <c r="AD152" i="20"/>
  <c r="AE152" i="20" s="1"/>
  <c r="P28" i="20"/>
  <c r="X28" i="20" s="1"/>
  <c r="Y28" i="20" s="1"/>
  <c r="Z28" i="20" s="1"/>
  <c r="X9" i="20"/>
  <c r="Y9" i="20" s="1"/>
  <c r="Z9" i="20" s="1"/>
  <c r="AD159" i="20"/>
  <c r="AD181" i="20"/>
  <c r="AA167" i="20"/>
  <c r="AB167" i="20" s="1"/>
  <c r="Q179" i="20"/>
  <c r="R179" i="20" s="1"/>
  <c r="B198" i="2"/>
  <c r="E54" i="1" s="1"/>
  <c r="AR118" i="20"/>
  <c r="AD204" i="20"/>
  <c r="S80" i="20"/>
  <c r="AO87" i="20"/>
  <c r="AP87" i="20" s="1"/>
  <c r="X80" i="20"/>
  <c r="Y80" i="20" s="1"/>
  <c r="Z80" i="20" s="1"/>
  <c r="AO139" i="20"/>
  <c r="AP139" i="20" s="1"/>
  <c r="X206" i="20"/>
  <c r="Y206" i="20" s="1"/>
  <c r="Z206" i="20" s="1"/>
  <c r="AD206" i="20"/>
  <c r="X191" i="20"/>
  <c r="Y191" i="20" s="1"/>
  <c r="Z191" i="20" s="1"/>
  <c r="AD191" i="20"/>
  <c r="AQ70" i="21"/>
  <c r="U69" i="21"/>
  <c r="V69" i="21" s="1"/>
  <c r="W69" i="21" s="1"/>
  <c r="AO69" i="21"/>
  <c r="AP69" i="21" s="1"/>
  <c r="P19" i="20"/>
  <c r="AD19" i="20" s="1"/>
  <c r="AD76" i="20"/>
  <c r="Q84" i="20"/>
  <c r="AS84" i="20" s="1"/>
  <c r="Q71" i="20"/>
  <c r="AS71" i="20" s="1"/>
  <c r="AF103" i="20"/>
  <c r="AO103" i="20"/>
  <c r="AP103" i="20" s="1"/>
  <c r="AH159" i="20"/>
  <c r="S172" i="20"/>
  <c r="AA206" i="20"/>
  <c r="AB206" i="20" s="1"/>
  <c r="AH179" i="20"/>
  <c r="AD179" i="20"/>
  <c r="T193" i="20"/>
  <c r="BI193" i="20" s="1"/>
  <c r="X167" i="20"/>
  <c r="Y167" i="20" s="1"/>
  <c r="Z167" i="20" s="1"/>
  <c r="S167" i="20"/>
  <c r="T167" i="20" s="1"/>
  <c r="BI167" i="20" s="1"/>
  <c r="AA179" i="20"/>
  <c r="AB179" i="20" s="1"/>
  <c r="AS193" i="20"/>
  <c r="AH204" i="20"/>
  <c r="AF167" i="20"/>
  <c r="AV167" i="20" s="1"/>
  <c r="BL167" i="20" s="1"/>
  <c r="Q206" i="20"/>
  <c r="AS206" i="20" s="1"/>
  <c r="AH96" i="20"/>
  <c r="AF96" i="20"/>
  <c r="AG96" i="20" s="1"/>
  <c r="AO95" i="20"/>
  <c r="AP95" i="20" s="1"/>
  <c r="AR95" i="20" s="1"/>
  <c r="AF152" i="20"/>
  <c r="AG152" i="20" s="1"/>
  <c r="AA173" i="20"/>
  <c r="AB173" i="20" s="1"/>
  <c r="X139" i="20"/>
  <c r="Y139" i="20" s="1"/>
  <c r="Z139" i="20" s="1"/>
  <c r="AS155" i="20"/>
  <c r="AO196" i="20"/>
  <c r="AP196" i="20" s="1"/>
  <c r="AO151" i="20"/>
  <c r="AP151" i="20" s="1"/>
  <c r="AR151" i="20" s="1"/>
  <c r="S152" i="20"/>
  <c r="S173" i="20"/>
  <c r="U139" i="20"/>
  <c r="V139" i="20" s="1"/>
  <c r="W139" i="20" s="1"/>
  <c r="U196" i="20"/>
  <c r="V196" i="20" s="1"/>
  <c r="W196" i="20" s="1"/>
  <c r="AD151" i="20"/>
  <c r="AF191" i="20"/>
  <c r="AG191" i="20" s="1"/>
  <c r="S191" i="20"/>
  <c r="AF196" i="20"/>
  <c r="AG196" i="20" s="1"/>
  <c r="AI196" i="20" s="1"/>
  <c r="AD80" i="20"/>
  <c r="S64" i="20"/>
  <c r="AH80" i="20"/>
  <c r="Q80" i="20"/>
  <c r="AS80" i="20" s="1"/>
  <c r="M19" i="20"/>
  <c r="AC19" i="20" s="1"/>
  <c r="AA96" i="20"/>
  <c r="AB96" i="20" s="1"/>
  <c r="AE96" i="20" s="1"/>
  <c r="AF95" i="20"/>
  <c r="AO152" i="20"/>
  <c r="AP152" i="20" s="1"/>
  <c r="AR143" i="20"/>
  <c r="AO173" i="20"/>
  <c r="AP173" i="20" s="1"/>
  <c r="AA139" i="20"/>
  <c r="AB139" i="20" s="1"/>
  <c r="AF139" i="20"/>
  <c r="AV139" i="20" s="1"/>
  <c r="BL139" i="20" s="1"/>
  <c r="AA196" i="20"/>
  <c r="AB196" i="20" s="1"/>
  <c r="AF151" i="20"/>
  <c r="AG151" i="20" s="1"/>
  <c r="AR193" i="20"/>
  <c r="X152" i="20"/>
  <c r="Y152" i="20" s="1"/>
  <c r="Z152" i="20" s="1"/>
  <c r="U152" i="20"/>
  <c r="V152" i="20" s="1"/>
  <c r="W152" i="20" s="1"/>
  <c r="AH152" i="20"/>
  <c r="AD173" i="20"/>
  <c r="AD139" i="20"/>
  <c r="S139" i="20"/>
  <c r="T155" i="20"/>
  <c r="BI155" i="20" s="1"/>
  <c r="AD196" i="20"/>
  <c r="S196" i="20"/>
  <c r="U151" i="20"/>
  <c r="V151" i="20" s="1"/>
  <c r="W151" i="20" s="1"/>
  <c r="AA191" i="20"/>
  <c r="AB191" i="20" s="1"/>
  <c r="AH191" i="20"/>
  <c r="U191" i="20"/>
  <c r="V191" i="20" s="1"/>
  <c r="W191" i="20" s="1"/>
  <c r="AR156" i="20"/>
  <c r="AR116" i="20"/>
  <c r="AO55" i="20"/>
  <c r="AP55" i="20" s="1"/>
  <c r="AD108" i="20"/>
  <c r="AD103" i="20"/>
  <c r="AF76" i="20"/>
  <c r="AF108" i="20"/>
  <c r="AF87" i="20"/>
  <c r="AV87" i="20" s="1"/>
  <c r="BL87" i="20" s="1"/>
  <c r="M32" i="20"/>
  <c r="AF32" i="20" s="1"/>
  <c r="AG32" i="20" s="1"/>
  <c r="AA87" i="20"/>
  <c r="AB87" i="20" s="1"/>
  <c r="AA103" i="20"/>
  <c r="AB103" i="20" s="1"/>
  <c r="AO108" i="20"/>
  <c r="AP108" i="20" s="1"/>
  <c r="AR108" i="20" s="1"/>
  <c r="P39" i="20"/>
  <c r="AM39" i="20" s="1"/>
  <c r="AF159" i="20"/>
  <c r="AV159" i="20" s="1"/>
  <c r="BL159" i="20" s="1"/>
  <c r="AD172" i="20"/>
  <c r="AH172" i="20"/>
  <c r="AI172" i="20" s="1"/>
  <c r="BF172" i="20" s="1"/>
  <c r="AF181" i="20"/>
  <c r="AG181" i="20" s="1"/>
  <c r="AI181" i="20" s="1"/>
  <c r="BF181" i="20" s="1"/>
  <c r="AF204" i="20"/>
  <c r="AV204" i="20" s="1"/>
  <c r="BL204" i="20" s="1"/>
  <c r="AO206" i="20"/>
  <c r="AP206" i="20" s="1"/>
  <c r="AF206" i="20"/>
  <c r="AV206" i="20" s="1"/>
  <c r="BL206" i="20" s="1"/>
  <c r="X179" i="20"/>
  <c r="Y179" i="20" s="1"/>
  <c r="Z179" i="20" s="1"/>
  <c r="AO179" i="20"/>
  <c r="AP179" i="20" s="1"/>
  <c r="AR155" i="20"/>
  <c r="X181" i="20"/>
  <c r="Y181" i="20" s="1"/>
  <c r="Z181" i="20" s="1"/>
  <c r="U181" i="20"/>
  <c r="V181" i="20" s="1"/>
  <c r="W181" i="20" s="1"/>
  <c r="U206" i="20"/>
  <c r="V206" i="20" s="1"/>
  <c r="W206" i="20" s="1"/>
  <c r="S206" i="20"/>
  <c r="AH167" i="20"/>
  <c r="AO167" i="20"/>
  <c r="AP167" i="20" s="1"/>
  <c r="AD167" i="20"/>
  <c r="AS156" i="20"/>
  <c r="AR183" i="20"/>
  <c r="P12" i="20"/>
  <c r="AO12" i="20" s="1"/>
  <c r="AP12" i="20" s="1"/>
  <c r="AH32" i="20"/>
  <c r="AL170" i="20"/>
  <c r="AL121" i="20"/>
  <c r="AL163" i="20"/>
  <c r="AL128" i="20"/>
  <c r="AL152" i="20"/>
  <c r="AL168" i="20"/>
  <c r="AL143" i="20"/>
  <c r="AN143" i="20" s="1"/>
  <c r="AL159" i="20"/>
  <c r="AL209" i="20"/>
  <c r="AL173" i="20"/>
  <c r="AL192" i="20"/>
  <c r="AL200" i="20"/>
  <c r="AL195" i="20"/>
  <c r="AL177" i="20"/>
  <c r="AL202" i="20"/>
  <c r="AL142" i="20"/>
  <c r="AL132" i="20"/>
  <c r="AL140" i="20"/>
  <c r="AL172" i="20"/>
  <c r="AL139" i="20"/>
  <c r="AL181" i="20"/>
  <c r="AL189" i="20"/>
  <c r="AL165" i="20"/>
  <c r="AL196" i="20"/>
  <c r="AL204" i="20"/>
  <c r="AL169" i="20"/>
  <c r="AL114" i="20"/>
  <c r="AL138" i="20"/>
  <c r="AL154" i="20"/>
  <c r="AL129" i="20"/>
  <c r="AL145" i="20"/>
  <c r="AL112" i="20"/>
  <c r="AL119" i="20"/>
  <c r="AL118" i="20"/>
  <c r="AN118" i="20" s="1"/>
  <c r="AL158" i="20"/>
  <c r="AL157" i="20"/>
  <c r="AL156" i="20"/>
  <c r="AN156" i="20" s="1"/>
  <c r="AL155" i="20"/>
  <c r="AN155" i="20" s="1"/>
  <c r="AL190" i="20"/>
  <c r="AL198" i="20"/>
  <c r="AL206" i="20"/>
  <c r="AL162" i="20"/>
  <c r="AL178" i="20"/>
  <c r="AL179" i="20"/>
  <c r="AL160" i="20"/>
  <c r="AL176" i="20"/>
  <c r="AL111" i="20"/>
  <c r="AL135" i="20"/>
  <c r="AL175" i="20"/>
  <c r="AL110" i="20"/>
  <c r="AL134" i="20"/>
  <c r="AL150" i="20"/>
  <c r="AL149" i="20"/>
  <c r="AL164" i="20"/>
  <c r="AL123" i="20"/>
  <c r="AL147" i="20"/>
  <c r="AL167" i="20"/>
  <c r="AL197" i="20"/>
  <c r="AL205" i="20"/>
  <c r="AL180" i="20"/>
  <c r="AL188" i="20"/>
  <c r="AL191" i="20"/>
  <c r="AL199" i="20"/>
  <c r="AL207" i="20"/>
  <c r="AL182" i="20"/>
  <c r="AL84" i="20"/>
  <c r="AL96" i="20"/>
  <c r="AL79" i="20"/>
  <c r="AL95" i="20"/>
  <c r="AN95" i="20" s="1"/>
  <c r="AL144" i="20"/>
  <c r="AL186" i="20"/>
  <c r="AL194" i="20"/>
  <c r="AL174" i="20"/>
  <c r="AL141" i="20"/>
  <c r="AL183" i="20"/>
  <c r="AN183" i="20" s="1"/>
  <c r="AL122" i="20"/>
  <c r="AL130" i="20"/>
  <c r="AL146" i="20"/>
  <c r="AL113" i="20"/>
  <c r="AL137" i="20"/>
  <c r="AL153" i="20"/>
  <c r="AL187" i="20"/>
  <c r="AL120" i="20"/>
  <c r="AL136" i="20"/>
  <c r="AL127" i="20"/>
  <c r="AL151" i="20"/>
  <c r="AL185" i="20"/>
  <c r="AL193" i="20"/>
  <c r="AN193" i="20" s="1"/>
  <c r="AL201" i="20"/>
  <c r="AL184" i="20"/>
  <c r="AL208" i="20"/>
  <c r="AL203" i="20"/>
  <c r="AL161" i="20"/>
  <c r="AL126" i="20"/>
  <c r="AL166" i="20"/>
  <c r="AL117" i="20"/>
  <c r="AL125" i="20"/>
  <c r="AL133" i="20"/>
  <c r="AL171" i="20"/>
  <c r="AN171" i="20" s="1"/>
  <c r="AL116" i="20"/>
  <c r="AN116" i="20" s="1"/>
  <c r="AL124" i="20"/>
  <c r="AL148" i="20"/>
  <c r="AL115" i="20"/>
  <c r="AL131" i="20"/>
  <c r="AL108" i="20"/>
  <c r="AN108" i="20" s="1"/>
  <c r="AL103" i="20"/>
  <c r="AL92" i="20"/>
  <c r="AN92" i="20" s="1"/>
  <c r="AL83" i="20"/>
  <c r="AL101" i="20"/>
  <c r="AL86" i="20"/>
  <c r="AL89" i="20"/>
  <c r="AL82" i="20"/>
  <c r="AL90" i="20"/>
  <c r="AL85" i="20"/>
  <c r="X163" i="20"/>
  <c r="Y163" i="20" s="1"/>
  <c r="Z163" i="20" s="1"/>
  <c r="AM163" i="20"/>
  <c r="AQ163" i="20"/>
  <c r="X195" i="20"/>
  <c r="Y195" i="20" s="1"/>
  <c r="Z195" i="20" s="1"/>
  <c r="AM195" i="20"/>
  <c r="AQ195" i="20"/>
  <c r="X174" i="20"/>
  <c r="Y174" i="20" s="1"/>
  <c r="Z174" i="20" s="1"/>
  <c r="AQ174" i="20"/>
  <c r="AM174" i="20"/>
  <c r="AJ174" i="20"/>
  <c r="AK174" i="20" s="1"/>
  <c r="X157" i="20"/>
  <c r="Y157" i="20" s="1"/>
  <c r="Z157" i="20" s="1"/>
  <c r="AM157" i="20"/>
  <c r="AQ157" i="20"/>
  <c r="AJ157" i="20"/>
  <c r="AK157" i="20" s="1"/>
  <c r="AF165" i="20"/>
  <c r="AG165" i="20" s="1"/>
  <c r="AM165" i="20"/>
  <c r="AQ165" i="20"/>
  <c r="X169" i="20"/>
  <c r="Y169" i="20" s="1"/>
  <c r="Z169" i="20" s="1"/>
  <c r="AM169" i="20"/>
  <c r="AQ169" i="20"/>
  <c r="X187" i="20"/>
  <c r="Y187" i="20" s="1"/>
  <c r="Z187" i="20" s="1"/>
  <c r="AM187" i="20"/>
  <c r="AQ187" i="20"/>
  <c r="AF176" i="20"/>
  <c r="AG176" i="20" s="1"/>
  <c r="AM176" i="20"/>
  <c r="AQ176" i="20"/>
  <c r="AA175" i="20"/>
  <c r="AB175" i="20" s="1"/>
  <c r="AM175" i="20"/>
  <c r="AQ175" i="20"/>
  <c r="AJ149" i="20"/>
  <c r="AK149" i="20" s="1"/>
  <c r="AM149" i="20"/>
  <c r="X200" i="20"/>
  <c r="Y200" i="20" s="1"/>
  <c r="Z200" i="20" s="1"/>
  <c r="AM200" i="20"/>
  <c r="AQ200" i="20"/>
  <c r="X186" i="20"/>
  <c r="Y186" i="20" s="1"/>
  <c r="Z186" i="20" s="1"/>
  <c r="AM186" i="20"/>
  <c r="AQ186" i="20"/>
  <c r="AJ132" i="20"/>
  <c r="AK132" i="20" s="1"/>
  <c r="AM132" i="20"/>
  <c r="X189" i="20"/>
  <c r="Y189" i="20" s="1"/>
  <c r="Z189" i="20" s="1"/>
  <c r="AM189" i="20"/>
  <c r="AQ189" i="20"/>
  <c r="X198" i="20"/>
  <c r="Y198" i="20" s="1"/>
  <c r="Z198" i="20" s="1"/>
  <c r="AM198" i="20"/>
  <c r="AQ198" i="20"/>
  <c r="X178" i="20"/>
  <c r="Y178" i="20" s="1"/>
  <c r="Z178" i="20" s="1"/>
  <c r="AM178" i="20"/>
  <c r="AQ178" i="20"/>
  <c r="X201" i="20"/>
  <c r="Y201" i="20" s="1"/>
  <c r="Z201" i="20" s="1"/>
  <c r="AM201" i="20"/>
  <c r="AQ201" i="20"/>
  <c r="AJ201" i="20"/>
  <c r="AK201" i="20" s="1"/>
  <c r="AM164" i="20"/>
  <c r="AQ164" i="20"/>
  <c r="X197" i="20"/>
  <c r="Y197" i="20" s="1"/>
  <c r="Z197" i="20" s="1"/>
  <c r="AM197" i="20"/>
  <c r="AQ197" i="20"/>
  <c r="X180" i="20"/>
  <c r="Y180" i="20" s="1"/>
  <c r="Z180" i="20" s="1"/>
  <c r="AM180" i="20"/>
  <c r="AJ180" i="20"/>
  <c r="AK180" i="20" s="1"/>
  <c r="AQ180" i="20"/>
  <c r="X182" i="20"/>
  <c r="Y182" i="20" s="1"/>
  <c r="Z182" i="20" s="1"/>
  <c r="AM182" i="20"/>
  <c r="AQ182" i="20"/>
  <c r="X203" i="20"/>
  <c r="Y203" i="20" s="1"/>
  <c r="Z203" i="20" s="1"/>
  <c r="AM203" i="20"/>
  <c r="AQ203" i="20"/>
  <c r="AJ203" i="20"/>
  <c r="AK203" i="20" s="1"/>
  <c r="X166" i="20"/>
  <c r="Y166" i="20" s="1"/>
  <c r="Z166" i="20" s="1"/>
  <c r="AM166" i="20"/>
  <c r="AQ166" i="20"/>
  <c r="AJ166" i="20"/>
  <c r="AK166" i="20" s="1"/>
  <c r="X188" i="20"/>
  <c r="Y188" i="20" s="1"/>
  <c r="Z188" i="20" s="1"/>
  <c r="AM188" i="20"/>
  <c r="AQ188" i="20"/>
  <c r="AL107" i="20"/>
  <c r="AL88" i="20"/>
  <c r="AL100" i="20"/>
  <c r="AL99" i="20"/>
  <c r="Q159" i="20"/>
  <c r="AM159" i="20"/>
  <c r="AQ159" i="20"/>
  <c r="Q172" i="20"/>
  <c r="AM172" i="20"/>
  <c r="AQ172" i="20"/>
  <c r="AM181" i="20"/>
  <c r="AQ181" i="20"/>
  <c r="AM204" i="20"/>
  <c r="AQ204" i="20"/>
  <c r="AJ198" i="20"/>
  <c r="AK198" i="20" s="1"/>
  <c r="AJ178" i="20"/>
  <c r="AK178" i="20" s="1"/>
  <c r="Q151" i="20"/>
  <c r="AM151" i="20"/>
  <c r="AJ164" i="20"/>
  <c r="AK164" i="20" s="1"/>
  <c r="AJ163" i="20"/>
  <c r="AK163" i="20" s="1"/>
  <c r="AJ200" i="20"/>
  <c r="AK200" i="20" s="1"/>
  <c r="AJ186" i="20"/>
  <c r="AK186" i="20" s="1"/>
  <c r="AJ188" i="20"/>
  <c r="AK188" i="20" s="1"/>
  <c r="AJ182" i="20"/>
  <c r="AK182" i="20" s="1"/>
  <c r="U32" i="20"/>
  <c r="V32" i="20" s="1"/>
  <c r="W32" i="20" s="1"/>
  <c r="AL109" i="20"/>
  <c r="P66" i="20"/>
  <c r="AM66" i="20" s="1"/>
  <c r="P74" i="20"/>
  <c r="AM74" i="20" s="1"/>
  <c r="P82" i="20"/>
  <c r="AM82" i="20" s="1"/>
  <c r="P90" i="20"/>
  <c r="S90" i="20" s="1"/>
  <c r="P98" i="20"/>
  <c r="U98" i="20" s="1"/>
  <c r="V98" i="20" s="1"/>
  <c r="W98" i="20" s="1"/>
  <c r="P106" i="20"/>
  <c r="U106" i="20" s="1"/>
  <c r="V106" i="20" s="1"/>
  <c r="W106" i="20" s="1"/>
  <c r="P69" i="20"/>
  <c r="P77" i="20"/>
  <c r="AM77" i="20" s="1"/>
  <c r="P85" i="20"/>
  <c r="P93" i="20"/>
  <c r="AO93" i="20" s="1"/>
  <c r="AP93" i="20" s="1"/>
  <c r="P101" i="20"/>
  <c r="P109" i="20"/>
  <c r="AD109" i="20" s="1"/>
  <c r="AL94" i="20"/>
  <c r="AL97" i="20"/>
  <c r="AA84" i="20"/>
  <c r="AB84" i="20" s="1"/>
  <c r="AA100" i="20"/>
  <c r="AB100" i="20" s="1"/>
  <c r="AL98" i="20"/>
  <c r="Q100" i="20"/>
  <c r="AS100" i="20" s="1"/>
  <c r="AL106" i="20"/>
  <c r="AL102" i="20"/>
  <c r="AL93" i="20"/>
  <c r="AQ59" i="20"/>
  <c r="AJ63" i="20"/>
  <c r="AK63" i="20" s="1"/>
  <c r="AQ76" i="20"/>
  <c r="AO84" i="20"/>
  <c r="AP84" i="20" s="1"/>
  <c r="AL105" i="20"/>
  <c r="AL81" i="20"/>
  <c r="P52" i="20"/>
  <c r="AF52" i="20" s="1"/>
  <c r="AG52" i="20" s="1"/>
  <c r="X168" i="20"/>
  <c r="Y168" i="20" s="1"/>
  <c r="Z168" i="20" s="1"/>
  <c r="AM168" i="20"/>
  <c r="AQ168" i="20"/>
  <c r="AA159" i="20"/>
  <c r="AB159" i="20" s="1"/>
  <c r="X192" i="20"/>
  <c r="Y192" i="20" s="1"/>
  <c r="Z192" i="20" s="1"/>
  <c r="AM192" i="20"/>
  <c r="AQ192" i="20"/>
  <c r="AA202" i="20"/>
  <c r="AB202" i="20" s="1"/>
  <c r="AM202" i="20"/>
  <c r="AQ202" i="20"/>
  <c r="X172" i="20"/>
  <c r="Y172" i="20" s="1"/>
  <c r="Z172" i="20" s="1"/>
  <c r="U172" i="20"/>
  <c r="V172" i="20" s="1"/>
  <c r="W172" i="20" s="1"/>
  <c r="Q181" i="20"/>
  <c r="R181" i="20" s="1"/>
  <c r="AA181" i="20"/>
  <c r="AB181" i="20" s="1"/>
  <c r="X204" i="20"/>
  <c r="Y204" i="20" s="1"/>
  <c r="Z204" i="20" s="1"/>
  <c r="AA204" i="20"/>
  <c r="AB204" i="20" s="1"/>
  <c r="X190" i="20"/>
  <c r="Y190" i="20" s="1"/>
  <c r="Z190" i="20" s="1"/>
  <c r="AM190" i="20"/>
  <c r="AQ190" i="20"/>
  <c r="AJ190" i="20"/>
  <c r="AK190" i="20" s="1"/>
  <c r="AA160" i="20"/>
  <c r="AB160" i="20" s="1"/>
  <c r="AM160" i="20"/>
  <c r="AQ160" i="20"/>
  <c r="X151" i="20"/>
  <c r="Y151" i="20" s="1"/>
  <c r="Z151" i="20" s="1"/>
  <c r="AM184" i="20"/>
  <c r="AQ184" i="20"/>
  <c r="AJ184" i="20"/>
  <c r="AK184" i="20" s="1"/>
  <c r="X170" i="20"/>
  <c r="Y170" i="20" s="1"/>
  <c r="Z170" i="20" s="1"/>
  <c r="AM170" i="20"/>
  <c r="AQ170" i="20"/>
  <c r="X159" i="20"/>
  <c r="Y159" i="20" s="1"/>
  <c r="Z159" i="20" s="1"/>
  <c r="U159" i="20"/>
  <c r="V159" i="20" s="1"/>
  <c r="W159" i="20" s="1"/>
  <c r="X209" i="20"/>
  <c r="Y209" i="20" s="1"/>
  <c r="Z209" i="20" s="1"/>
  <c r="AM209" i="20"/>
  <c r="AQ209" i="20"/>
  <c r="X177" i="20"/>
  <c r="Y177" i="20" s="1"/>
  <c r="Z177" i="20" s="1"/>
  <c r="AM177" i="20"/>
  <c r="AQ177" i="20"/>
  <c r="X194" i="20"/>
  <c r="Y194" i="20" s="1"/>
  <c r="Z194" i="20" s="1"/>
  <c r="AM194" i="20"/>
  <c r="AQ194" i="20"/>
  <c r="X158" i="20"/>
  <c r="Y158" i="20" s="1"/>
  <c r="Z158" i="20" s="1"/>
  <c r="AQ158" i="20"/>
  <c r="AM158" i="20"/>
  <c r="AJ158" i="20"/>
  <c r="AK158" i="20" s="1"/>
  <c r="S181" i="20"/>
  <c r="U204" i="20"/>
  <c r="V204" i="20" s="1"/>
  <c r="W204" i="20" s="1"/>
  <c r="Q204" i="20"/>
  <c r="R204" i="20" s="1"/>
  <c r="T204" i="20" s="1"/>
  <c r="X162" i="20"/>
  <c r="Y162" i="20" s="1"/>
  <c r="Z162" i="20" s="1"/>
  <c r="AM162" i="20"/>
  <c r="AQ162" i="20"/>
  <c r="X185" i="20"/>
  <c r="Y185" i="20" s="1"/>
  <c r="Z185" i="20" s="1"/>
  <c r="AM185" i="20"/>
  <c r="AQ185" i="20"/>
  <c r="AQ148" i="20"/>
  <c r="AM148" i="20"/>
  <c r="X205" i="20"/>
  <c r="Y205" i="20" s="1"/>
  <c r="Z205" i="20" s="1"/>
  <c r="AM205" i="20"/>
  <c r="AQ205" i="20"/>
  <c r="X207" i="20"/>
  <c r="Y207" i="20" s="1"/>
  <c r="Z207" i="20" s="1"/>
  <c r="AM207" i="20"/>
  <c r="AQ207" i="20"/>
  <c r="X208" i="20"/>
  <c r="Y208" i="20" s="1"/>
  <c r="Z208" i="20" s="1"/>
  <c r="AM208" i="20"/>
  <c r="AQ208" i="20"/>
  <c r="AJ208" i="20"/>
  <c r="AK208" i="20" s="1"/>
  <c r="X161" i="20"/>
  <c r="Y161" i="20" s="1"/>
  <c r="Z161" i="20" s="1"/>
  <c r="AM161" i="20"/>
  <c r="AQ161" i="20"/>
  <c r="AJ161" i="20"/>
  <c r="AK161" i="20" s="1"/>
  <c r="AR171" i="20"/>
  <c r="X199" i="20"/>
  <c r="Y199" i="20" s="1"/>
  <c r="Z199" i="20" s="1"/>
  <c r="AM199" i="20"/>
  <c r="AQ199" i="20"/>
  <c r="AO181" i="20"/>
  <c r="AP181" i="20" s="1"/>
  <c r="AO204" i="20"/>
  <c r="AP204" i="20" s="1"/>
  <c r="AO159" i="20"/>
  <c r="AP159" i="20" s="1"/>
  <c r="AO172" i="20"/>
  <c r="AP172" i="20" s="1"/>
  <c r="AL91" i="20"/>
  <c r="P44" i="20"/>
  <c r="S44" i="20" s="1"/>
  <c r="AL104" i="20"/>
  <c r="AL80" i="20"/>
  <c r="AL87" i="20"/>
  <c r="AJ151" i="20"/>
  <c r="AK151" i="20" s="1"/>
  <c r="AQ152" i="20"/>
  <c r="AM152" i="20"/>
  <c r="AF173" i="20"/>
  <c r="AG173" i="20" s="1"/>
  <c r="AM173" i="20"/>
  <c r="AQ173" i="20"/>
  <c r="AM139" i="20"/>
  <c r="AQ139" i="20"/>
  <c r="AM196" i="20"/>
  <c r="AQ196" i="20"/>
  <c r="AJ168" i="20"/>
  <c r="AK168" i="20" s="1"/>
  <c r="AJ159" i="20"/>
  <c r="AK159" i="20" s="1"/>
  <c r="AJ209" i="20"/>
  <c r="AK209" i="20" s="1"/>
  <c r="AJ173" i="20"/>
  <c r="AJ192" i="20"/>
  <c r="AK192" i="20" s="1"/>
  <c r="AJ195" i="20"/>
  <c r="AK195" i="20" s="1"/>
  <c r="AJ177" i="20"/>
  <c r="AK177" i="20" s="1"/>
  <c r="AJ181" i="20"/>
  <c r="AK181" i="20" s="1"/>
  <c r="AJ196" i="20"/>
  <c r="AK196" i="20" s="1"/>
  <c r="AJ169" i="20"/>
  <c r="AK169" i="20" s="1"/>
  <c r="AM206" i="20"/>
  <c r="AQ206" i="20"/>
  <c r="AJ162" i="20"/>
  <c r="AK162" i="20" s="1"/>
  <c r="AF179" i="20"/>
  <c r="AG179" i="20" s="1"/>
  <c r="AM179" i="20"/>
  <c r="AQ179" i="20"/>
  <c r="AJ187" i="20"/>
  <c r="AK187" i="20" s="1"/>
  <c r="AJ176" i="20"/>
  <c r="AK176" i="20" s="1"/>
  <c r="AJ175" i="20"/>
  <c r="AK175" i="20" s="1"/>
  <c r="AM167" i="20"/>
  <c r="AQ167" i="20"/>
  <c r="AJ197" i="20"/>
  <c r="AK197" i="20" s="1"/>
  <c r="AO191" i="20"/>
  <c r="AP191" i="20" s="1"/>
  <c r="AM191" i="20"/>
  <c r="AQ191" i="20"/>
  <c r="AJ194" i="20"/>
  <c r="AK194" i="20" s="1"/>
  <c r="AJ202" i="20"/>
  <c r="AK202" i="20" s="1"/>
  <c r="AJ172" i="20"/>
  <c r="AK172" i="20" s="1"/>
  <c r="AJ189" i="20"/>
  <c r="AK189" i="20" s="1"/>
  <c r="AJ165" i="20"/>
  <c r="AK165" i="20" s="1"/>
  <c r="AJ204" i="20"/>
  <c r="AK204" i="20" s="1"/>
  <c r="AM67" i="20"/>
  <c r="AF67" i="20"/>
  <c r="X64" i="20"/>
  <c r="Y64" i="20" s="1"/>
  <c r="Z64" i="20" s="1"/>
  <c r="U64" i="20"/>
  <c r="V64" i="20" s="1"/>
  <c r="W64" i="20" s="1"/>
  <c r="P62" i="20"/>
  <c r="AM62" i="20" s="1"/>
  <c r="P70" i="20"/>
  <c r="AM70" i="20" s="1"/>
  <c r="P78" i="20"/>
  <c r="AM78" i="20" s="1"/>
  <c r="P86" i="20"/>
  <c r="S86" i="20" s="1"/>
  <c r="P94" i="20"/>
  <c r="AO94" i="20" s="1"/>
  <c r="AP94" i="20" s="1"/>
  <c r="P102" i="20"/>
  <c r="AH102" i="20" s="1"/>
  <c r="P73" i="20"/>
  <c r="AM73" i="20" s="1"/>
  <c r="P81" i="20"/>
  <c r="AD81" i="20" s="1"/>
  <c r="P89" i="20"/>
  <c r="AA89" i="20" s="1"/>
  <c r="AB89" i="20" s="1"/>
  <c r="P97" i="20"/>
  <c r="P105" i="20"/>
  <c r="AO105" i="20" s="1"/>
  <c r="AP105" i="20" s="1"/>
  <c r="AQ90" i="20"/>
  <c r="AM90" i="20"/>
  <c r="AQ98" i="20"/>
  <c r="AQ106" i="20"/>
  <c r="AM106" i="20"/>
  <c r="AQ85" i="20"/>
  <c r="AQ93" i="20"/>
  <c r="AM93" i="20"/>
  <c r="AQ101" i="20"/>
  <c r="X128" i="20"/>
  <c r="Y128" i="20" s="1"/>
  <c r="Z128" i="20" s="1"/>
  <c r="AQ128" i="20"/>
  <c r="AJ128" i="20"/>
  <c r="AK128" i="20" s="1"/>
  <c r="X141" i="20"/>
  <c r="Y141" i="20" s="1"/>
  <c r="Z141" i="20" s="1"/>
  <c r="AQ141" i="20"/>
  <c r="X140" i="20"/>
  <c r="Y140" i="20" s="1"/>
  <c r="Z140" i="20" s="1"/>
  <c r="AQ140" i="20"/>
  <c r="X113" i="20"/>
  <c r="Y113" i="20" s="1"/>
  <c r="Z113" i="20" s="1"/>
  <c r="AJ113" i="20"/>
  <c r="AK113" i="20" s="1"/>
  <c r="AQ113" i="20"/>
  <c r="X126" i="20"/>
  <c r="Y126" i="20" s="1"/>
  <c r="Z126" i="20" s="1"/>
  <c r="AJ126" i="20"/>
  <c r="AK126" i="20" s="1"/>
  <c r="AQ126" i="20"/>
  <c r="X133" i="20"/>
  <c r="Y133" i="20" s="1"/>
  <c r="Z133" i="20" s="1"/>
  <c r="AQ133" i="20"/>
  <c r="X138" i="20"/>
  <c r="Y138" i="20" s="1"/>
  <c r="Z138" i="20" s="1"/>
  <c r="AQ138" i="20"/>
  <c r="AJ138" i="20"/>
  <c r="AK138" i="20" s="1"/>
  <c r="X129" i="20"/>
  <c r="Y129" i="20" s="1"/>
  <c r="Z129" i="20" s="1"/>
  <c r="AQ129" i="20"/>
  <c r="AJ129" i="20"/>
  <c r="AK129" i="20" s="1"/>
  <c r="X119" i="20"/>
  <c r="Y119" i="20" s="1"/>
  <c r="Z119" i="20" s="1"/>
  <c r="AQ119" i="20"/>
  <c r="AJ119" i="20"/>
  <c r="AK119" i="20" s="1"/>
  <c r="X130" i="20"/>
  <c r="Y130" i="20" s="1"/>
  <c r="Z130" i="20" s="1"/>
  <c r="AJ130" i="20"/>
  <c r="AK130" i="20" s="1"/>
  <c r="AQ130" i="20"/>
  <c r="X137" i="20"/>
  <c r="Y137" i="20" s="1"/>
  <c r="Z137" i="20" s="1"/>
  <c r="AJ137" i="20"/>
  <c r="AK137" i="20" s="1"/>
  <c r="AQ137" i="20"/>
  <c r="X120" i="20"/>
  <c r="Y120" i="20" s="1"/>
  <c r="Z120" i="20" s="1"/>
  <c r="AQ120" i="20"/>
  <c r="X127" i="20"/>
  <c r="Y127" i="20" s="1"/>
  <c r="Z127" i="20" s="1"/>
  <c r="AQ127" i="20"/>
  <c r="AJ127" i="20"/>
  <c r="AK127" i="20" s="1"/>
  <c r="X123" i="20"/>
  <c r="Y123" i="20" s="1"/>
  <c r="Z123" i="20" s="1"/>
  <c r="AQ123" i="20"/>
  <c r="X147" i="20"/>
  <c r="Y147" i="20" s="1"/>
  <c r="Z147" i="20" s="1"/>
  <c r="AJ147" i="20"/>
  <c r="AK147" i="20" s="1"/>
  <c r="AQ147" i="20"/>
  <c r="X150" i="20"/>
  <c r="Y150" i="20" s="1"/>
  <c r="Z150" i="20" s="1"/>
  <c r="AQ150" i="20"/>
  <c r="X117" i="20"/>
  <c r="Y117" i="20" s="1"/>
  <c r="Z117" i="20" s="1"/>
  <c r="AQ117" i="20"/>
  <c r="AO91" i="20"/>
  <c r="AP91" i="20" s="1"/>
  <c r="AM91" i="20"/>
  <c r="AQ96" i="20"/>
  <c r="AM96" i="20"/>
  <c r="AF83" i="20"/>
  <c r="AG83" i="20" s="1"/>
  <c r="AM83" i="20"/>
  <c r="AJ141" i="20"/>
  <c r="AK141" i="20" s="1"/>
  <c r="AJ150" i="20"/>
  <c r="AK150" i="20" s="1"/>
  <c r="AJ133" i="20"/>
  <c r="AK133" i="20" s="1"/>
  <c r="AJ148" i="20"/>
  <c r="AK148" i="20" s="1"/>
  <c r="AJ123" i="20"/>
  <c r="AK123" i="20" s="1"/>
  <c r="X144" i="20"/>
  <c r="Y144" i="20" s="1"/>
  <c r="Z144" i="20" s="1"/>
  <c r="AQ144" i="20"/>
  <c r="AJ144" i="20"/>
  <c r="AK144" i="20" s="1"/>
  <c r="X153" i="20"/>
  <c r="Y153" i="20" s="1"/>
  <c r="Z153" i="20" s="1"/>
  <c r="AJ153" i="20"/>
  <c r="AK153" i="20" s="1"/>
  <c r="AQ153" i="20"/>
  <c r="X135" i="20"/>
  <c r="Y135" i="20" s="1"/>
  <c r="Z135" i="20" s="1"/>
  <c r="AJ135" i="20"/>
  <c r="AK135" i="20" s="1"/>
  <c r="AQ135" i="20"/>
  <c r="X125" i="20"/>
  <c r="Y125" i="20" s="1"/>
  <c r="Z125" i="20" s="1"/>
  <c r="AQ125" i="20"/>
  <c r="X149" i="20"/>
  <c r="Y149" i="20" s="1"/>
  <c r="Z149" i="20" s="1"/>
  <c r="AQ149" i="20"/>
  <c r="X114" i="20"/>
  <c r="Y114" i="20" s="1"/>
  <c r="Z114" i="20" s="1"/>
  <c r="AQ114" i="20"/>
  <c r="AJ114" i="20"/>
  <c r="AK114" i="20" s="1"/>
  <c r="X154" i="20"/>
  <c r="Y154" i="20" s="1"/>
  <c r="Z154" i="20" s="1"/>
  <c r="AQ154" i="20"/>
  <c r="AJ154" i="20"/>
  <c r="AK154" i="20" s="1"/>
  <c r="X121" i="20"/>
  <c r="Y121" i="20" s="1"/>
  <c r="Z121" i="20" s="1"/>
  <c r="AQ121" i="20"/>
  <c r="AJ121" i="20"/>
  <c r="AK121" i="20" s="1"/>
  <c r="X145" i="20"/>
  <c r="Y145" i="20" s="1"/>
  <c r="Z145" i="20" s="1"/>
  <c r="AQ145" i="20"/>
  <c r="AJ145" i="20"/>
  <c r="AK145" i="20" s="1"/>
  <c r="X142" i="20"/>
  <c r="Y142" i="20" s="1"/>
  <c r="Z142" i="20" s="1"/>
  <c r="AQ142" i="20"/>
  <c r="X132" i="20"/>
  <c r="Y132" i="20" s="1"/>
  <c r="Z132" i="20" s="1"/>
  <c r="AQ132" i="20"/>
  <c r="X122" i="20"/>
  <c r="Y122" i="20" s="1"/>
  <c r="Z122" i="20" s="1"/>
  <c r="AQ122" i="20"/>
  <c r="X146" i="20"/>
  <c r="Y146" i="20" s="1"/>
  <c r="Z146" i="20" s="1"/>
  <c r="AJ146" i="20"/>
  <c r="AK146" i="20" s="1"/>
  <c r="AQ146" i="20"/>
  <c r="X136" i="20"/>
  <c r="Y136" i="20" s="1"/>
  <c r="Z136" i="20" s="1"/>
  <c r="AJ136" i="20"/>
  <c r="AK136" i="20" s="1"/>
  <c r="AQ136" i="20"/>
  <c r="X124" i="20"/>
  <c r="Y124" i="20" s="1"/>
  <c r="Z124" i="20" s="1"/>
  <c r="AJ124" i="20"/>
  <c r="AK124" i="20" s="1"/>
  <c r="AQ124" i="20"/>
  <c r="X131" i="20"/>
  <c r="Y131" i="20" s="1"/>
  <c r="Z131" i="20" s="1"/>
  <c r="AQ131" i="20"/>
  <c r="X134" i="20"/>
  <c r="Y134" i="20" s="1"/>
  <c r="Z134" i="20" s="1"/>
  <c r="AQ134" i="20"/>
  <c r="X115" i="20"/>
  <c r="Y115" i="20" s="1"/>
  <c r="Z115" i="20" s="1"/>
  <c r="AQ115" i="20"/>
  <c r="AJ91" i="20"/>
  <c r="AK91" i="20" s="1"/>
  <c r="P107" i="20"/>
  <c r="Q107" i="20" s="1"/>
  <c r="AS107" i="20" s="1"/>
  <c r="P104" i="20"/>
  <c r="AF104" i="20" s="1"/>
  <c r="P88" i="20"/>
  <c r="X88" i="20" s="1"/>
  <c r="Y88" i="20" s="1"/>
  <c r="Z88" i="20" s="1"/>
  <c r="AQ84" i="20"/>
  <c r="AM84" i="20"/>
  <c r="AQ100" i="20"/>
  <c r="AR100" i="20" s="1"/>
  <c r="AM100" i="20"/>
  <c r="AQ87" i="20"/>
  <c r="AM87" i="20"/>
  <c r="AQ103" i="20"/>
  <c r="AM103" i="20"/>
  <c r="AJ142" i="20"/>
  <c r="AK142" i="20" s="1"/>
  <c r="AJ140" i="20"/>
  <c r="AK140" i="20" s="1"/>
  <c r="AJ122" i="20"/>
  <c r="AK122" i="20" s="1"/>
  <c r="AJ120" i="20"/>
  <c r="AK120" i="20" s="1"/>
  <c r="AJ134" i="20"/>
  <c r="AK134" i="20" s="1"/>
  <c r="AJ117" i="20"/>
  <c r="AK117" i="20" s="1"/>
  <c r="AJ125" i="20"/>
  <c r="AK125" i="20" s="1"/>
  <c r="AJ115" i="20"/>
  <c r="AK115" i="20" s="1"/>
  <c r="AJ131" i="20"/>
  <c r="AK131" i="20" s="1"/>
  <c r="P17" i="20"/>
  <c r="AD17" i="20" s="1"/>
  <c r="B178" i="2"/>
  <c r="B160" i="2"/>
  <c r="B167" i="2"/>
  <c r="AD16" i="20"/>
  <c r="AO9" i="20"/>
  <c r="AP9" i="20" s="1"/>
  <c r="P23" i="20"/>
  <c r="Q23" i="20" s="1"/>
  <c r="AS23" i="20" s="1"/>
  <c r="AA64" i="20"/>
  <c r="AB64" i="20" s="1"/>
  <c r="P10" i="20"/>
  <c r="AD10" i="20" s="1"/>
  <c r="P13" i="20"/>
  <c r="AD13" i="20" s="1"/>
  <c r="P14" i="20"/>
  <c r="AD14" i="20" s="1"/>
  <c r="AF9" i="20"/>
  <c r="AG9" i="20" s="1"/>
  <c r="S96" i="20"/>
  <c r="AD64" i="20"/>
  <c r="X32" i="20"/>
  <c r="Y32" i="20" s="1"/>
  <c r="Z32" i="20" s="1"/>
  <c r="X96" i="20"/>
  <c r="Y96" i="20" s="1"/>
  <c r="Z96" i="20" s="1"/>
  <c r="AH64" i="20"/>
  <c r="U80" i="20"/>
  <c r="V80" i="20" s="1"/>
  <c r="W80" i="20" s="1"/>
  <c r="U96" i="20"/>
  <c r="V96" i="20" s="1"/>
  <c r="W96" i="20" s="1"/>
  <c r="AF64" i="20"/>
  <c r="AV64" i="20" s="1"/>
  <c r="BL64" i="20" s="1"/>
  <c r="AF80" i="20"/>
  <c r="AG80" i="20" s="1"/>
  <c r="Q96" i="20"/>
  <c r="AS96" i="20" s="1"/>
  <c r="AA80" i="20"/>
  <c r="AB80" i="20" s="1"/>
  <c r="M28" i="20"/>
  <c r="AO96" i="20"/>
  <c r="AP96" i="20" s="1"/>
  <c r="AO67" i="20"/>
  <c r="AP67" i="20" s="1"/>
  <c r="P36" i="20"/>
  <c r="AF36" i="20" s="1"/>
  <c r="AG36" i="20" s="1"/>
  <c r="AA68" i="20"/>
  <c r="AB68" i="20" s="1"/>
  <c r="Q68" i="20"/>
  <c r="AS68" i="20" s="1"/>
  <c r="Q79" i="20"/>
  <c r="AS79" i="20" s="1"/>
  <c r="AA71" i="20"/>
  <c r="AB71" i="20" s="1"/>
  <c r="S79" i="20"/>
  <c r="X20" i="20"/>
  <c r="Y20" i="20" s="1"/>
  <c r="Z20" i="20" s="1"/>
  <c r="AF71" i="20"/>
  <c r="AG71" i="20" s="1"/>
  <c r="AF79" i="20"/>
  <c r="AA79" i="20"/>
  <c r="AB79" i="20" s="1"/>
  <c r="AI143" i="20"/>
  <c r="BF143" i="20" s="1"/>
  <c r="AE156" i="20"/>
  <c r="T156" i="20"/>
  <c r="BI156" i="20" s="1"/>
  <c r="AV156" i="20"/>
  <c r="BL156" i="20" s="1"/>
  <c r="AJ27" i="20"/>
  <c r="AK27" i="20" s="1"/>
  <c r="AF59" i="20"/>
  <c r="X111" i="20"/>
  <c r="Y111" i="20" s="1"/>
  <c r="Z111" i="20" s="1"/>
  <c r="AQ111" i="20"/>
  <c r="AJ111" i="20"/>
  <c r="AK111" i="20" s="1"/>
  <c r="X112" i="20"/>
  <c r="Y112" i="20" s="1"/>
  <c r="Z112" i="20" s="1"/>
  <c r="AQ112" i="20"/>
  <c r="X110" i="20"/>
  <c r="Y110" i="20" s="1"/>
  <c r="Z110" i="20" s="1"/>
  <c r="AQ110" i="20"/>
  <c r="AJ110" i="20"/>
  <c r="AK110" i="20" s="1"/>
  <c r="AJ112" i="20"/>
  <c r="AK112" i="20" s="1"/>
  <c r="AQ91" i="20"/>
  <c r="P65" i="20"/>
  <c r="AM65" i="20" s="1"/>
  <c r="AJ90" i="20"/>
  <c r="AK90" i="20" s="1"/>
  <c r="AJ93" i="20"/>
  <c r="AK93" i="20" s="1"/>
  <c r="AJ94" i="20"/>
  <c r="AK94" i="20" s="1"/>
  <c r="AJ97" i="20"/>
  <c r="AK97" i="20" s="1"/>
  <c r="AO99" i="20"/>
  <c r="AP99" i="20" s="1"/>
  <c r="AQ99" i="20"/>
  <c r="AQ107" i="20"/>
  <c r="AJ104" i="20"/>
  <c r="AK104" i="20" s="1"/>
  <c r="P72" i="20"/>
  <c r="S72" i="20" s="1"/>
  <c r="AJ106" i="20"/>
  <c r="AK106" i="20" s="1"/>
  <c r="AJ102" i="20"/>
  <c r="AK102" i="20" s="1"/>
  <c r="AJ89" i="20"/>
  <c r="AK89" i="20" s="1"/>
  <c r="AJ105" i="20"/>
  <c r="AK105" i="20" s="1"/>
  <c r="S75" i="20"/>
  <c r="AM75" i="20"/>
  <c r="M88" i="20"/>
  <c r="AJ99" i="20"/>
  <c r="AK99" i="20" s="1"/>
  <c r="AA199" i="20"/>
  <c r="AB199" i="20" s="1"/>
  <c r="AF188" i="20"/>
  <c r="AG188" i="20" s="1"/>
  <c r="AQ56" i="20"/>
  <c r="AF35" i="21"/>
  <c r="AG35" i="21" s="1"/>
  <c r="U20" i="20"/>
  <c r="V20" i="20" s="1"/>
  <c r="W20" i="20" s="1"/>
  <c r="Q75" i="20"/>
  <c r="AS75" i="20" s="1"/>
  <c r="AO27" i="20"/>
  <c r="AP27" i="20" s="1"/>
  <c r="AA75" i="20"/>
  <c r="AB75" i="20" s="1"/>
  <c r="M23" i="20"/>
  <c r="AC23" i="20" s="1"/>
  <c r="M20" i="20"/>
  <c r="AF20" i="20" s="1"/>
  <c r="AG20" i="20" s="1"/>
  <c r="S35" i="21"/>
  <c r="AQ27" i="20"/>
  <c r="AO60" i="20"/>
  <c r="AP60" i="20" s="1"/>
  <c r="AF67" i="21"/>
  <c r="AH47" i="21"/>
  <c r="AH82" i="21"/>
  <c r="AM27" i="20"/>
  <c r="AF60" i="20"/>
  <c r="AE183" i="20"/>
  <c r="AE116" i="20"/>
  <c r="BE116" i="20" s="1"/>
  <c r="AF81" i="21"/>
  <c r="AG81" i="21" s="1"/>
  <c r="AF68" i="21"/>
  <c r="AG68" i="21" s="1"/>
  <c r="AI68" i="21" s="1"/>
  <c r="AH35" i="21"/>
  <c r="AH81" i="21"/>
  <c r="AM56" i="21"/>
  <c r="Q27" i="20"/>
  <c r="AS27" i="20" s="1"/>
  <c r="AC27" i="20"/>
  <c r="AA27" i="20"/>
  <c r="AB27" i="20" s="1"/>
  <c r="AF27" i="20"/>
  <c r="AF24" i="20"/>
  <c r="AC24" i="20"/>
  <c r="AC28" i="20"/>
  <c r="AH83" i="20"/>
  <c r="AF63" i="20"/>
  <c r="AG63" i="20" s="1"/>
  <c r="AF76" i="21"/>
  <c r="AG76" i="21" s="1"/>
  <c r="AH97" i="21"/>
  <c r="AJ51" i="20"/>
  <c r="AK51" i="20" s="1"/>
  <c r="AF51" i="20"/>
  <c r="AQ51" i="20"/>
  <c r="AA185" i="20"/>
  <c r="AB185" i="20" s="1"/>
  <c r="AF98" i="21"/>
  <c r="AG98" i="21" s="1"/>
  <c r="AI98" i="21" s="1"/>
  <c r="AF101" i="21"/>
  <c r="AG101" i="21" s="1"/>
  <c r="AH45" i="21"/>
  <c r="AH105" i="21"/>
  <c r="AA119" i="20"/>
  <c r="AB119" i="20" s="1"/>
  <c r="S55" i="20"/>
  <c r="X83" i="20"/>
  <c r="Y83" i="20" s="1"/>
  <c r="Z83" i="20" s="1"/>
  <c r="U63" i="20"/>
  <c r="V63" i="20" s="1"/>
  <c r="W63" i="20" s="1"/>
  <c r="P31" i="20"/>
  <c r="AD31" i="20" s="1"/>
  <c r="P33" i="20"/>
  <c r="AD33" i="20" s="1"/>
  <c r="AA63" i="20"/>
  <c r="AB63" i="20" s="1"/>
  <c r="AO63" i="20"/>
  <c r="AP63" i="20" s="1"/>
  <c r="AA200" i="20"/>
  <c r="AB200" i="20" s="1"/>
  <c r="AA198" i="20"/>
  <c r="AB198" i="20" s="1"/>
  <c r="AA203" i="20"/>
  <c r="AB203" i="20" s="1"/>
  <c r="AF90" i="21"/>
  <c r="AG90" i="21" s="1"/>
  <c r="AF106" i="21"/>
  <c r="AG106" i="21" s="1"/>
  <c r="AF45" i="21"/>
  <c r="AG45" i="21" s="1"/>
  <c r="AH90" i="21"/>
  <c r="AH43" i="21"/>
  <c r="AH106" i="21"/>
  <c r="AH83" i="21"/>
  <c r="AH93" i="21"/>
  <c r="AH101" i="21"/>
  <c r="AH109" i="21"/>
  <c r="AD22" i="20"/>
  <c r="AQ22" i="20"/>
  <c r="P25" i="20"/>
  <c r="AD25" i="20" s="1"/>
  <c r="P29" i="20"/>
  <c r="AQ29" i="20" s="1"/>
  <c r="AF12" i="20"/>
  <c r="AG12" i="20" s="1"/>
  <c r="P21" i="20"/>
  <c r="AD21" i="20" s="1"/>
  <c r="P26" i="20"/>
  <c r="AH26" i="20" s="1"/>
  <c r="P18" i="20"/>
  <c r="AD18" i="20" s="1"/>
  <c r="P30" i="20"/>
  <c r="AD30" i="20" s="1"/>
  <c r="AJ22" i="20"/>
  <c r="AK22" i="20" s="1"/>
  <c r="AF11" i="20"/>
  <c r="AG11" i="20" s="1"/>
  <c r="AA58" i="21"/>
  <c r="AB58" i="21" s="1"/>
  <c r="Q11" i="21"/>
  <c r="AS11" i="21" s="1"/>
  <c r="AD63" i="20"/>
  <c r="AH63" i="20"/>
  <c r="Q51" i="20"/>
  <c r="AS51" i="20" s="1"/>
  <c r="Q91" i="20"/>
  <c r="AS91" i="20" s="1"/>
  <c r="AJ48" i="20"/>
  <c r="AK48" i="20" s="1"/>
  <c r="AA166" i="20"/>
  <c r="AB166" i="20" s="1"/>
  <c r="S63" i="20"/>
  <c r="AH55" i="20"/>
  <c r="X63" i="20"/>
  <c r="Y63" i="20" s="1"/>
  <c r="Z63" i="20" s="1"/>
  <c r="Q56" i="20"/>
  <c r="AS56" i="20" s="1"/>
  <c r="Q63" i="20"/>
  <c r="AS63" i="20" s="1"/>
  <c r="AA55" i="20"/>
  <c r="AB55" i="20" s="1"/>
  <c r="AA40" i="20"/>
  <c r="AB40" i="20" s="1"/>
  <c r="AF194" i="20"/>
  <c r="AF158" i="20"/>
  <c r="AV158" i="20" s="1"/>
  <c r="BL158" i="20" s="1"/>
  <c r="AV172" i="20"/>
  <c r="BL172" i="20" s="1"/>
  <c r="AF162" i="20"/>
  <c r="AV162" i="20" s="1"/>
  <c r="BL162" i="20" s="1"/>
  <c r="AA137" i="20"/>
  <c r="AB137" i="20" s="1"/>
  <c r="AF120" i="20"/>
  <c r="AV120" i="20" s="1"/>
  <c r="BL120" i="20" s="1"/>
  <c r="AF166" i="20"/>
  <c r="AV166" i="20" s="1"/>
  <c r="BL166" i="20" s="1"/>
  <c r="AA115" i="20"/>
  <c r="AB115" i="20" s="1"/>
  <c r="AS167" i="20"/>
  <c r="AA188" i="20"/>
  <c r="AB188" i="20" s="1"/>
  <c r="AA22" i="21"/>
  <c r="AB22" i="21" s="1"/>
  <c r="AE22" i="21" s="1"/>
  <c r="AS116" i="20"/>
  <c r="S84" i="21"/>
  <c r="AM15" i="21"/>
  <c r="AQ76" i="21"/>
  <c r="AJ76" i="21"/>
  <c r="AK76" i="21" s="1"/>
  <c r="S59" i="20"/>
  <c r="X99" i="20"/>
  <c r="Y99" i="20" s="1"/>
  <c r="Z99" i="20" s="1"/>
  <c r="Q40" i="20"/>
  <c r="AS40" i="20" s="1"/>
  <c r="Q83" i="20"/>
  <c r="AS83" i="20" s="1"/>
  <c r="Q99" i="20"/>
  <c r="AS99" i="20" s="1"/>
  <c r="Q55" i="20"/>
  <c r="AS55" i="20" s="1"/>
  <c r="AO59" i="20"/>
  <c r="AP59" i="20" s="1"/>
  <c r="AA177" i="20"/>
  <c r="AB177" i="20" s="1"/>
  <c r="AF130" i="20"/>
  <c r="AV130" i="20" s="1"/>
  <c r="BL130" i="20" s="1"/>
  <c r="AA162" i="20"/>
  <c r="AB162" i="20" s="1"/>
  <c r="AF185" i="20"/>
  <c r="AV185" i="20" s="1"/>
  <c r="BL185" i="20" s="1"/>
  <c r="AA150" i="20"/>
  <c r="AB150" i="20" s="1"/>
  <c r="AA76" i="21"/>
  <c r="AB76" i="21" s="1"/>
  <c r="AE76" i="21" s="1"/>
  <c r="X69" i="21"/>
  <c r="Y69" i="21" s="1"/>
  <c r="Z69" i="21" s="1"/>
  <c r="Q59" i="20"/>
  <c r="AS59" i="20" s="1"/>
  <c r="AA51" i="20"/>
  <c r="AB51" i="20" s="1"/>
  <c r="AA59" i="20"/>
  <c r="AB59" i="20" s="1"/>
  <c r="AA91" i="20"/>
  <c r="AB91" i="20" s="1"/>
  <c r="AM35" i="20"/>
  <c r="AF91" i="20"/>
  <c r="AO51" i="20"/>
  <c r="AP51" i="20" s="1"/>
  <c r="AA112" i="20"/>
  <c r="AB112" i="20" s="1"/>
  <c r="AV143" i="20"/>
  <c r="BL143" i="20" s="1"/>
  <c r="AF142" i="20"/>
  <c r="AG142" i="20" s="1"/>
  <c r="AI156" i="20"/>
  <c r="BF156" i="20" s="1"/>
  <c r="AF136" i="20"/>
  <c r="AV136" i="20" s="1"/>
  <c r="BL136" i="20" s="1"/>
  <c r="AA208" i="20"/>
  <c r="AB208" i="20" s="1"/>
  <c r="AF161" i="20"/>
  <c r="AV161" i="20" s="1"/>
  <c r="BL161" i="20" s="1"/>
  <c r="AA117" i="20"/>
  <c r="AB117" i="20" s="1"/>
  <c r="T116" i="20"/>
  <c r="BI116" i="20" s="1"/>
  <c r="AQ47" i="21"/>
  <c r="AJ11" i="21"/>
  <c r="AK11" i="21" s="1"/>
  <c r="Q109" i="21"/>
  <c r="R109" i="21" s="1"/>
  <c r="AQ35" i="21"/>
  <c r="S98" i="21"/>
  <c r="S22" i="21"/>
  <c r="Q58" i="21"/>
  <c r="R58" i="21" s="1"/>
  <c r="AM42" i="21"/>
  <c r="U75" i="21"/>
  <c r="V75" i="21" s="1"/>
  <c r="W75" i="21" s="1"/>
  <c r="AF93" i="21"/>
  <c r="AG93" i="21" s="1"/>
  <c r="Q105" i="21"/>
  <c r="R105" i="21" s="1"/>
  <c r="AF55" i="21"/>
  <c r="AG55" i="21" s="1"/>
  <c r="AF43" i="21"/>
  <c r="AG43" i="21" s="1"/>
  <c r="AF53" i="21"/>
  <c r="AG53" i="21" s="1"/>
  <c r="AI53" i="21" s="1"/>
  <c r="AF102" i="21"/>
  <c r="AG102" i="21" s="1"/>
  <c r="AI102" i="21" s="1"/>
  <c r="AH89" i="21"/>
  <c r="AM21" i="21"/>
  <c r="AJ44" i="21"/>
  <c r="AK44" i="21" s="1"/>
  <c r="Q84" i="21"/>
  <c r="R84" i="21" s="1"/>
  <c r="S66" i="21"/>
  <c r="S9" i="21"/>
  <c r="Q89" i="21"/>
  <c r="AS89" i="21" s="1"/>
  <c r="AA66" i="21"/>
  <c r="AB66" i="21" s="1"/>
  <c r="AJ21" i="21"/>
  <c r="AK21" i="21" s="1"/>
  <c r="S53" i="21"/>
  <c r="Q9" i="21"/>
  <c r="AS9" i="21" s="1"/>
  <c r="S44" i="21"/>
  <c r="AQ74" i="21"/>
  <c r="AM74" i="21"/>
  <c r="AQ57" i="21"/>
  <c r="AA53" i="21"/>
  <c r="AB53" i="21" s="1"/>
  <c r="AJ9" i="21"/>
  <c r="AK9" i="21" s="1"/>
  <c r="Q94" i="21"/>
  <c r="R94" i="21" s="1"/>
  <c r="AA70" i="21"/>
  <c r="AB70" i="21" s="1"/>
  <c r="AJ15" i="21"/>
  <c r="AK15" i="21" s="1"/>
  <c r="Q66" i="21"/>
  <c r="R66" i="21" s="1"/>
  <c r="T66" i="21" s="1"/>
  <c r="Q53" i="21"/>
  <c r="AS53" i="21" s="1"/>
  <c r="AQ21" i="21"/>
  <c r="S21" i="21"/>
  <c r="AM9" i="21"/>
  <c r="Q44" i="21"/>
  <c r="AS44" i="21" s="1"/>
  <c r="S70" i="21"/>
  <c r="AM36" i="21"/>
  <c r="S72" i="21"/>
  <c r="AM30" i="21"/>
  <c r="AQ15" i="21"/>
  <c r="AJ68" i="21"/>
  <c r="AK68" i="21" s="1"/>
  <c r="AF83" i="21"/>
  <c r="AG83" i="21" s="1"/>
  <c r="AF97" i="21"/>
  <c r="AG97" i="21" s="1"/>
  <c r="AF105" i="21"/>
  <c r="AG105" i="21" s="1"/>
  <c r="AO109" i="21"/>
  <c r="AP109" i="21" s="1"/>
  <c r="Q82" i="21"/>
  <c r="AS82" i="21" s="1"/>
  <c r="AF89" i="21"/>
  <c r="AG89" i="21" s="1"/>
  <c r="AF66" i="21"/>
  <c r="AG66" i="21" s="1"/>
  <c r="AI66" i="21" s="1"/>
  <c r="AJ53" i="21"/>
  <c r="AK53" i="21" s="1"/>
  <c r="AJ56" i="21"/>
  <c r="AK56" i="21" s="1"/>
  <c r="AA9" i="21"/>
  <c r="AB9" i="21" s="1"/>
  <c r="AA44" i="21"/>
  <c r="AB44" i="21" s="1"/>
  <c r="AF44" i="21"/>
  <c r="AG44" i="21" s="1"/>
  <c r="AI44" i="21" s="1"/>
  <c r="AF84" i="21"/>
  <c r="AG84" i="21" s="1"/>
  <c r="AI84" i="21" s="1"/>
  <c r="Q72" i="21"/>
  <c r="AS72" i="21" s="1"/>
  <c r="AF63" i="21"/>
  <c r="AG63" i="21" s="1"/>
  <c r="AA30" i="21"/>
  <c r="AB30" i="21" s="1"/>
  <c r="AE30" i="21" s="1"/>
  <c r="AF109" i="21"/>
  <c r="AG109" i="21" s="1"/>
  <c r="AA74" i="21"/>
  <c r="AB74" i="21" s="1"/>
  <c r="AQ53" i="21"/>
  <c r="AH56" i="21"/>
  <c r="AQ44" i="21"/>
  <c r="S94" i="21"/>
  <c r="S102" i="21"/>
  <c r="Q70" i="21"/>
  <c r="R70" i="21" s="1"/>
  <c r="AQ36" i="21"/>
  <c r="AH63" i="21"/>
  <c r="AQ30" i="21"/>
  <c r="S68" i="21"/>
  <c r="S74" i="21"/>
  <c r="AJ70" i="21"/>
  <c r="AK70" i="21" s="1"/>
  <c r="AJ59" i="21"/>
  <c r="AK59" i="21" s="1"/>
  <c r="AJ74" i="21"/>
  <c r="AK74" i="21" s="1"/>
  <c r="U89" i="21"/>
  <c r="V89" i="21" s="1"/>
  <c r="W89" i="21" s="1"/>
  <c r="AF57" i="21"/>
  <c r="AG57" i="21" s="1"/>
  <c r="AI57" i="21" s="1"/>
  <c r="AF58" i="21"/>
  <c r="AG58" i="21" s="1"/>
  <c r="AI58" i="21" s="1"/>
  <c r="AF42" i="21"/>
  <c r="AG42" i="21" s="1"/>
  <c r="AH62" i="21"/>
  <c r="AH76" i="21"/>
  <c r="Q22" i="21"/>
  <c r="AS22" i="21" s="1"/>
  <c r="X89" i="21"/>
  <c r="Y89" i="21" s="1"/>
  <c r="Z89" i="21" s="1"/>
  <c r="AO89" i="21"/>
  <c r="AP89" i="21" s="1"/>
  <c r="S83" i="20"/>
  <c r="AD83" i="20"/>
  <c r="AD55" i="20"/>
  <c r="U83" i="20"/>
  <c r="V83" i="20" s="1"/>
  <c r="W83" i="20" s="1"/>
  <c r="AF56" i="20"/>
  <c r="AG56" i="20" s="1"/>
  <c r="AA56" i="20"/>
  <c r="AB56" i="20" s="1"/>
  <c r="AF55" i="20"/>
  <c r="AG55" i="20" s="1"/>
  <c r="AA83" i="20"/>
  <c r="AB83" i="20" s="1"/>
  <c r="AA99" i="20"/>
  <c r="AB99" i="20" s="1"/>
  <c r="AJ55" i="20"/>
  <c r="AK55" i="20" s="1"/>
  <c r="AO56" i="20"/>
  <c r="AP56" i="20" s="1"/>
  <c r="AF99" i="20"/>
  <c r="AJ56" i="20"/>
  <c r="AK56" i="20" s="1"/>
  <c r="AQ55" i="20"/>
  <c r="AF119" i="20"/>
  <c r="AG119" i="20" s="1"/>
  <c r="AA209" i="20"/>
  <c r="AB209" i="20" s="1"/>
  <c r="AF200" i="20"/>
  <c r="AG200" i="20" s="1"/>
  <c r="AA186" i="20"/>
  <c r="AB186" i="20" s="1"/>
  <c r="AA132" i="20"/>
  <c r="AB132" i="20" s="1"/>
  <c r="AA189" i="20"/>
  <c r="AB189" i="20" s="1"/>
  <c r="AF198" i="20"/>
  <c r="AG198" i="20" s="1"/>
  <c r="AA122" i="20"/>
  <c r="AB122" i="20" s="1"/>
  <c r="AA146" i="20"/>
  <c r="AB146" i="20" s="1"/>
  <c r="AF178" i="20"/>
  <c r="AV178" i="20" s="1"/>
  <c r="BL178" i="20" s="1"/>
  <c r="AF201" i="20"/>
  <c r="AV201" i="20" s="1"/>
  <c r="BL201" i="20" s="1"/>
  <c r="AJ14" i="21"/>
  <c r="AK14" i="21" s="1"/>
  <c r="AJ47" i="21"/>
  <c r="AK47" i="21" s="1"/>
  <c r="AJ58" i="21"/>
  <c r="AK58" i="21" s="1"/>
  <c r="S11" i="21"/>
  <c r="AQ67" i="21"/>
  <c r="AH55" i="21"/>
  <c r="Q14" i="21"/>
  <c r="AS14" i="21" s="1"/>
  <c r="AH67" i="21"/>
  <c r="AQ58" i="21"/>
  <c r="S58" i="21"/>
  <c r="AQ11" i="21"/>
  <c r="AM11" i="21"/>
  <c r="AQ42" i="21"/>
  <c r="AQ62" i="21"/>
  <c r="AJ67" i="21"/>
  <c r="AK67" i="21" s="1"/>
  <c r="AL69" i="20"/>
  <c r="AF82" i="21"/>
  <c r="AG82" i="21" s="1"/>
  <c r="AA55" i="21"/>
  <c r="AB55" i="21" s="1"/>
  <c r="AE55" i="21" s="1"/>
  <c r="AF62" i="21"/>
  <c r="AG62" i="21" s="1"/>
  <c r="AA24" i="21"/>
  <c r="AB24" i="21" s="1"/>
  <c r="AE24" i="21" s="1"/>
  <c r="AF94" i="21"/>
  <c r="AG94" i="21" s="1"/>
  <c r="AI94" i="21" s="1"/>
  <c r="AF70" i="21"/>
  <c r="AG70" i="21" s="1"/>
  <c r="AI70" i="21" s="1"/>
  <c r="AA36" i="21"/>
  <c r="AB36" i="21" s="1"/>
  <c r="AF47" i="21"/>
  <c r="AG47" i="21" s="1"/>
  <c r="AF72" i="21"/>
  <c r="AG72" i="21" s="1"/>
  <c r="AI72" i="21" s="1"/>
  <c r="AA67" i="21"/>
  <c r="AB67" i="21" s="1"/>
  <c r="Q68" i="21"/>
  <c r="AS68" i="21" s="1"/>
  <c r="AF59" i="21"/>
  <c r="AF74" i="21"/>
  <c r="AG74" i="21" s="1"/>
  <c r="AI74" i="21" s="1"/>
  <c r="Q24" i="21"/>
  <c r="AS24" i="21" s="1"/>
  <c r="AH36" i="21"/>
  <c r="AA47" i="21"/>
  <c r="AB47" i="21" s="1"/>
  <c r="AE47" i="21" s="1"/>
  <c r="Q67" i="21"/>
  <c r="R67" i="21" s="1"/>
  <c r="T67" i="21" s="1"/>
  <c r="AH42" i="21"/>
  <c r="AL78" i="20"/>
  <c r="AL72" i="20"/>
  <c r="AL75" i="20"/>
  <c r="AL74" i="20"/>
  <c r="AL68" i="20"/>
  <c r="AL76" i="20"/>
  <c r="AL71" i="20"/>
  <c r="AL70" i="20"/>
  <c r="AL73" i="20"/>
  <c r="AL77" i="20"/>
  <c r="AE118" i="20"/>
  <c r="BE118" i="20" s="1"/>
  <c r="AE193" i="20"/>
  <c r="BE193" i="20" s="1"/>
  <c r="AL64" i="20"/>
  <c r="AL63" i="20"/>
  <c r="AL65" i="20"/>
  <c r="AL60" i="20"/>
  <c r="AN60" i="20" s="1"/>
  <c r="AL59" i="20"/>
  <c r="AL67" i="20"/>
  <c r="AL62" i="20"/>
  <c r="AL61" i="20"/>
  <c r="AL66" i="20"/>
  <c r="AE143" i="20"/>
  <c r="AE155" i="20"/>
  <c r="BE155" i="20" s="1"/>
  <c r="AE171" i="20"/>
  <c r="AO90" i="21"/>
  <c r="AP90" i="21" s="1"/>
  <c r="AD90" i="21"/>
  <c r="AO40" i="21"/>
  <c r="AP40" i="21" s="1"/>
  <c r="AD40" i="21"/>
  <c r="AM66" i="21"/>
  <c r="AD66" i="21"/>
  <c r="AM53" i="21"/>
  <c r="AD53" i="21"/>
  <c r="X48" i="21"/>
  <c r="Y48" i="21" s="1"/>
  <c r="Z48" i="21" s="1"/>
  <c r="AD48" i="21"/>
  <c r="X21" i="21"/>
  <c r="Y21" i="21" s="1"/>
  <c r="Z21" i="21" s="1"/>
  <c r="AD21" i="21"/>
  <c r="AE21" i="21" s="1"/>
  <c r="X9" i="21"/>
  <c r="Y9" i="21" s="1"/>
  <c r="Z9" i="21" s="1"/>
  <c r="AD9" i="21"/>
  <c r="AM44" i="21"/>
  <c r="AD44" i="21"/>
  <c r="X96" i="21"/>
  <c r="Y96" i="21" s="1"/>
  <c r="Z96" i="21" s="1"/>
  <c r="AD96" i="21"/>
  <c r="X104" i="21"/>
  <c r="Y104" i="21" s="1"/>
  <c r="Z104" i="21" s="1"/>
  <c r="AD104" i="21"/>
  <c r="X73" i="21"/>
  <c r="Y73" i="21" s="1"/>
  <c r="Z73" i="21" s="1"/>
  <c r="AD73" i="21"/>
  <c r="X84" i="21"/>
  <c r="Y84" i="21" s="1"/>
  <c r="Z84" i="21" s="1"/>
  <c r="AD84" i="21"/>
  <c r="X27" i="21"/>
  <c r="Y27" i="21" s="1"/>
  <c r="Z27" i="21" s="1"/>
  <c r="AD27" i="21"/>
  <c r="X28" i="21"/>
  <c r="Y28" i="21" s="1"/>
  <c r="Z28" i="21" s="1"/>
  <c r="AD28" i="21"/>
  <c r="AO77" i="21"/>
  <c r="AP77" i="21" s="1"/>
  <c r="AD77" i="21"/>
  <c r="AE77" i="21" s="1"/>
  <c r="AO37" i="21"/>
  <c r="AP37" i="21" s="1"/>
  <c r="AD37" i="21"/>
  <c r="AO17" i="21"/>
  <c r="AP17" i="21" s="1"/>
  <c r="AD17" i="21"/>
  <c r="AO91" i="21"/>
  <c r="AP91" i="21" s="1"/>
  <c r="AD91" i="21"/>
  <c r="AO99" i="21"/>
  <c r="AP99" i="21" s="1"/>
  <c r="AD99" i="21"/>
  <c r="AO107" i="21"/>
  <c r="AP107" i="21" s="1"/>
  <c r="AD107" i="21"/>
  <c r="X78" i="21"/>
  <c r="Y78" i="21" s="1"/>
  <c r="Z78" i="21" s="1"/>
  <c r="AD78" i="21"/>
  <c r="AO86" i="21"/>
  <c r="AP86" i="21" s="1"/>
  <c r="AD86" i="21"/>
  <c r="AE86" i="21" s="1"/>
  <c r="AO35" i="21"/>
  <c r="AP35" i="21" s="1"/>
  <c r="AD35" i="21"/>
  <c r="AO34" i="21"/>
  <c r="AP34" i="21" s="1"/>
  <c r="AD34" i="21"/>
  <c r="AO64" i="21"/>
  <c r="AP64" i="21" s="1"/>
  <c r="AD64" i="21"/>
  <c r="AO31" i="21"/>
  <c r="AP31" i="21" s="1"/>
  <c r="AD31" i="21"/>
  <c r="AO41" i="21"/>
  <c r="AP41" i="21" s="1"/>
  <c r="AD41" i="21"/>
  <c r="AO16" i="21"/>
  <c r="AP16" i="21" s="1"/>
  <c r="AD16" i="21"/>
  <c r="AO51" i="21"/>
  <c r="AP51" i="21" s="1"/>
  <c r="AD51" i="21"/>
  <c r="AO98" i="21"/>
  <c r="AP98" i="21" s="1"/>
  <c r="AD98" i="21"/>
  <c r="AO80" i="21"/>
  <c r="AP80" i="21" s="1"/>
  <c r="AD80" i="21"/>
  <c r="AO65" i="21"/>
  <c r="AP65" i="21" s="1"/>
  <c r="AD65" i="21"/>
  <c r="AO38" i="21"/>
  <c r="AP38" i="21" s="1"/>
  <c r="AD38" i="21"/>
  <c r="AO19" i="21"/>
  <c r="AP19" i="21" s="1"/>
  <c r="AD19" i="21"/>
  <c r="AO46" i="21"/>
  <c r="AP46" i="21" s="1"/>
  <c r="AD46" i="21"/>
  <c r="AO81" i="21"/>
  <c r="AP81" i="21" s="1"/>
  <c r="AD81" i="21"/>
  <c r="U85" i="21"/>
  <c r="V85" i="21" s="1"/>
  <c r="W85" i="21" s="1"/>
  <c r="AD85" i="21"/>
  <c r="AO82" i="21"/>
  <c r="AP82" i="21" s="1"/>
  <c r="AD82" i="21"/>
  <c r="AM57" i="21"/>
  <c r="AD57" i="21"/>
  <c r="AO26" i="21"/>
  <c r="AP26" i="21" s="1"/>
  <c r="AD26" i="21"/>
  <c r="X33" i="21"/>
  <c r="Y33" i="21" s="1"/>
  <c r="Z33" i="21" s="1"/>
  <c r="AD33" i="21"/>
  <c r="X10" i="21"/>
  <c r="Y10" i="21" s="1"/>
  <c r="Z10" i="21" s="1"/>
  <c r="AD10" i="21"/>
  <c r="X92" i="21"/>
  <c r="Y92" i="21" s="1"/>
  <c r="Z92" i="21" s="1"/>
  <c r="AD92" i="21"/>
  <c r="X100" i="21"/>
  <c r="Y100" i="21" s="1"/>
  <c r="Z100" i="21" s="1"/>
  <c r="AD100" i="21"/>
  <c r="X108" i="21"/>
  <c r="Y108" i="21" s="1"/>
  <c r="Z108" i="21" s="1"/>
  <c r="AD108" i="21"/>
  <c r="AO79" i="21"/>
  <c r="AP79" i="21" s="1"/>
  <c r="AD79" i="21"/>
  <c r="X87" i="21"/>
  <c r="Y87" i="21" s="1"/>
  <c r="Z87" i="21" s="1"/>
  <c r="AD87" i="21"/>
  <c r="AM67" i="21"/>
  <c r="AD67" i="21"/>
  <c r="AM58" i="21"/>
  <c r="AD58" i="21"/>
  <c r="AO52" i="21"/>
  <c r="AP52" i="21" s="1"/>
  <c r="AD52" i="21"/>
  <c r="AO23" i="21"/>
  <c r="AP23" i="21" s="1"/>
  <c r="AD23" i="21"/>
  <c r="AO11" i="21"/>
  <c r="AP11" i="21" s="1"/>
  <c r="AD11" i="21"/>
  <c r="AE11" i="21" s="1"/>
  <c r="AO42" i="21"/>
  <c r="AP42" i="21" s="1"/>
  <c r="AD42" i="21"/>
  <c r="AO95" i="21"/>
  <c r="AP95" i="21" s="1"/>
  <c r="AD95" i="21"/>
  <c r="AO103" i="21"/>
  <c r="AP103" i="21" s="1"/>
  <c r="AD103" i="21"/>
  <c r="AO71" i="21"/>
  <c r="AP71" i="21" s="1"/>
  <c r="AD71" i="21"/>
  <c r="AO50" i="21"/>
  <c r="AP50" i="21" s="1"/>
  <c r="AD50" i="21"/>
  <c r="AO60" i="21"/>
  <c r="AP60" i="21" s="1"/>
  <c r="AD60" i="21"/>
  <c r="AO56" i="21"/>
  <c r="AP56" i="21" s="1"/>
  <c r="AD56" i="21"/>
  <c r="AO25" i="21"/>
  <c r="AP25" i="21" s="1"/>
  <c r="AD25" i="21"/>
  <c r="AO12" i="21"/>
  <c r="AP12" i="21" s="1"/>
  <c r="AD12" i="21"/>
  <c r="AO32" i="21"/>
  <c r="AP32" i="21" s="1"/>
  <c r="AD32" i="21"/>
  <c r="AO94" i="21"/>
  <c r="AP94" i="21" s="1"/>
  <c r="AD94" i="21"/>
  <c r="AO102" i="21"/>
  <c r="AP102" i="21" s="1"/>
  <c r="AD102" i="21"/>
  <c r="AM70" i="21"/>
  <c r="AD70" i="21"/>
  <c r="AO88" i="21"/>
  <c r="AP88" i="21" s="1"/>
  <c r="AD88" i="21"/>
  <c r="AO36" i="21"/>
  <c r="AP36" i="21" s="1"/>
  <c r="AD36" i="21"/>
  <c r="AO39" i="21"/>
  <c r="AP39" i="21" s="1"/>
  <c r="AD39" i="21"/>
  <c r="AO72" i="21"/>
  <c r="AP72" i="21" s="1"/>
  <c r="AD72" i="21"/>
  <c r="AO61" i="21"/>
  <c r="AP61" i="21" s="1"/>
  <c r="AD61" i="21"/>
  <c r="AO68" i="21"/>
  <c r="AP68" i="21" s="1"/>
  <c r="AD68" i="21"/>
  <c r="AO29" i="21"/>
  <c r="AP29" i="21" s="1"/>
  <c r="AD29" i="21"/>
  <c r="AO13" i="21"/>
  <c r="AP13" i="21" s="1"/>
  <c r="AD13" i="21"/>
  <c r="AO59" i="21"/>
  <c r="AP59" i="21" s="1"/>
  <c r="AD59" i="21"/>
  <c r="AO74" i="21"/>
  <c r="AP74" i="21" s="1"/>
  <c r="AD74" i="21"/>
  <c r="AQ66" i="21"/>
  <c r="AJ66" i="21"/>
  <c r="AK66" i="21" s="1"/>
  <c r="U81" i="21"/>
  <c r="V81" i="21" s="1"/>
  <c r="W81" i="21" s="1"/>
  <c r="AM62" i="21"/>
  <c r="AJ62" i="21"/>
  <c r="AK62" i="21" s="1"/>
  <c r="AA62" i="21"/>
  <c r="AB62" i="21" s="1"/>
  <c r="AE62" i="21" s="1"/>
  <c r="X24" i="21"/>
  <c r="Y24" i="21" s="1"/>
  <c r="Z24" i="21" s="1"/>
  <c r="AM24" i="21"/>
  <c r="AQ24" i="21"/>
  <c r="AJ24" i="21"/>
  <c r="AK24" i="21" s="1"/>
  <c r="X14" i="21"/>
  <c r="Y14" i="21" s="1"/>
  <c r="Z14" i="21" s="1"/>
  <c r="AM14" i="21"/>
  <c r="AQ14" i="21"/>
  <c r="AA14" i="21"/>
  <c r="AB14" i="21" s="1"/>
  <c r="AE14" i="21" s="1"/>
  <c r="X49" i="21"/>
  <c r="Y49" i="21" s="1"/>
  <c r="Z49" i="21" s="1"/>
  <c r="AM49" i="21"/>
  <c r="X47" i="21"/>
  <c r="Y47" i="21" s="1"/>
  <c r="Z47" i="21" s="1"/>
  <c r="AM47" i="21"/>
  <c r="S47" i="21"/>
  <c r="AM55" i="21"/>
  <c r="AQ55" i="21"/>
  <c r="AJ55" i="21"/>
  <c r="AK55" i="21" s="1"/>
  <c r="AO45" i="21"/>
  <c r="AP45" i="21" s="1"/>
  <c r="AM45" i="21"/>
  <c r="AJ45" i="21"/>
  <c r="AK45" i="21" s="1"/>
  <c r="AO20" i="21"/>
  <c r="AP20" i="21" s="1"/>
  <c r="AJ20" i="21"/>
  <c r="AK20" i="21" s="1"/>
  <c r="AO75" i="21"/>
  <c r="AP75" i="21" s="1"/>
  <c r="X75" i="21"/>
  <c r="Y75" i="21" s="1"/>
  <c r="Z75" i="21" s="1"/>
  <c r="AO83" i="21"/>
  <c r="AP83" i="21" s="1"/>
  <c r="U83" i="21"/>
  <c r="V83" i="21" s="1"/>
  <c r="W83" i="21" s="1"/>
  <c r="X83" i="21"/>
  <c r="Y83" i="21" s="1"/>
  <c r="Z83" i="21" s="1"/>
  <c r="AO93" i="21"/>
  <c r="AP93" i="21" s="1"/>
  <c r="U93" i="21"/>
  <c r="V93" i="21" s="1"/>
  <c r="W93" i="21" s="1"/>
  <c r="X93" i="21"/>
  <c r="Y93" i="21" s="1"/>
  <c r="Z93" i="21" s="1"/>
  <c r="AJ93" i="21"/>
  <c r="AK93" i="21" s="1"/>
  <c r="Q93" i="21"/>
  <c r="AO97" i="21"/>
  <c r="AP97" i="21" s="1"/>
  <c r="U97" i="21"/>
  <c r="V97" i="21" s="1"/>
  <c r="W97" i="21" s="1"/>
  <c r="X97" i="21"/>
  <c r="Y97" i="21" s="1"/>
  <c r="Z97" i="21" s="1"/>
  <c r="U101" i="21"/>
  <c r="V101" i="21" s="1"/>
  <c r="W101" i="21" s="1"/>
  <c r="X101" i="21"/>
  <c r="Y101" i="21" s="1"/>
  <c r="Z101" i="21" s="1"/>
  <c r="AO105" i="21"/>
  <c r="AP105" i="21" s="1"/>
  <c r="U105" i="21"/>
  <c r="V105" i="21" s="1"/>
  <c r="W105" i="21" s="1"/>
  <c r="X105" i="21"/>
  <c r="Y105" i="21" s="1"/>
  <c r="Z105" i="21" s="1"/>
  <c r="S105" i="21"/>
  <c r="U109" i="21"/>
  <c r="V109" i="21" s="1"/>
  <c r="W109" i="21" s="1"/>
  <c r="X109" i="21"/>
  <c r="Y109" i="21" s="1"/>
  <c r="Z109" i="21" s="1"/>
  <c r="AJ109" i="21"/>
  <c r="AK109" i="21" s="1"/>
  <c r="AJ100" i="21"/>
  <c r="AK100" i="21" s="1"/>
  <c r="Q55" i="21"/>
  <c r="R55" i="21" s="1"/>
  <c r="S55" i="21"/>
  <c r="Q62" i="21"/>
  <c r="S62" i="21"/>
  <c r="S24" i="21"/>
  <c r="S14" i="21"/>
  <c r="Q47" i="21"/>
  <c r="R47" i="21" s="1"/>
  <c r="AO43" i="21"/>
  <c r="AP43" i="21" s="1"/>
  <c r="AM43" i="21"/>
  <c r="AO63" i="21"/>
  <c r="AP63" i="21" s="1"/>
  <c r="AM63" i="21"/>
  <c r="AJ63" i="21"/>
  <c r="AK63" i="21" s="1"/>
  <c r="AQ63" i="21"/>
  <c r="S63" i="21"/>
  <c r="Q63" i="21"/>
  <c r="AS63" i="21" s="1"/>
  <c r="AA63" i="21"/>
  <c r="AB63" i="21" s="1"/>
  <c r="AE63" i="21" s="1"/>
  <c r="AO30" i="21"/>
  <c r="AP30" i="21" s="1"/>
  <c r="S30" i="21"/>
  <c r="Q30" i="21"/>
  <c r="R30" i="21" s="1"/>
  <c r="AJ30" i="21"/>
  <c r="AK30" i="21" s="1"/>
  <c r="AO15" i="21"/>
  <c r="AP15" i="21" s="1"/>
  <c r="S15" i="21"/>
  <c r="Q15" i="21"/>
  <c r="R15" i="21" s="1"/>
  <c r="AA15" i="21"/>
  <c r="AB15" i="21" s="1"/>
  <c r="AE15" i="21" s="1"/>
  <c r="AO18" i="21"/>
  <c r="AP18" i="21" s="1"/>
  <c r="AJ18" i="21"/>
  <c r="AK18" i="21" s="1"/>
  <c r="AO106" i="21"/>
  <c r="AP106" i="21" s="1"/>
  <c r="Q106" i="21"/>
  <c r="R106" i="21" s="1"/>
  <c r="AM76" i="21"/>
  <c r="S76" i="21"/>
  <c r="Q76" i="21"/>
  <c r="AS76" i="21" s="1"/>
  <c r="AO54" i="21"/>
  <c r="AP54" i="21" s="1"/>
  <c r="AM54" i="21"/>
  <c r="AO22" i="21"/>
  <c r="AP22" i="21" s="1"/>
  <c r="AM22" i="21"/>
  <c r="AQ22" i="21"/>
  <c r="AJ22" i="21"/>
  <c r="AK22" i="21" s="1"/>
  <c r="AO85" i="21"/>
  <c r="AP85" i="21" s="1"/>
  <c r="AO101" i="21"/>
  <c r="AP101" i="21" s="1"/>
  <c r="AO10" i="21"/>
  <c r="AP10" i="21" s="1"/>
  <c r="AO44" i="21"/>
  <c r="AP44" i="21" s="1"/>
  <c r="AO76" i="21"/>
  <c r="AP76" i="21" s="1"/>
  <c r="AO58" i="21"/>
  <c r="AP58" i="21" s="1"/>
  <c r="AO53" i="21"/>
  <c r="AP53" i="21" s="1"/>
  <c r="AO9" i="21"/>
  <c r="AP9" i="21" s="1"/>
  <c r="AR9" i="21" s="1"/>
  <c r="AO92" i="21"/>
  <c r="AP92" i="21" s="1"/>
  <c r="AO96" i="21"/>
  <c r="AP96" i="21" s="1"/>
  <c r="AO100" i="21"/>
  <c r="AP100" i="21" s="1"/>
  <c r="AO104" i="21"/>
  <c r="AP104" i="21" s="1"/>
  <c r="AO108" i="21"/>
  <c r="AP108" i="21" s="1"/>
  <c r="AO84" i="21"/>
  <c r="AP84" i="21" s="1"/>
  <c r="AO49" i="21"/>
  <c r="AP49" i="21" s="1"/>
  <c r="AO47" i="21"/>
  <c r="AP47" i="21" s="1"/>
  <c r="AO87" i="21"/>
  <c r="AP87" i="21" s="1"/>
  <c r="AO66" i="21"/>
  <c r="AP66" i="21" s="1"/>
  <c r="AR66" i="21" s="1"/>
  <c r="AO62" i="21"/>
  <c r="AP62" i="21" s="1"/>
  <c r="AO24" i="21"/>
  <c r="AP24" i="21" s="1"/>
  <c r="AO48" i="21"/>
  <c r="AP48" i="21" s="1"/>
  <c r="AO14" i="21"/>
  <c r="AP14" i="21" s="1"/>
  <c r="AO70" i="21"/>
  <c r="AP70" i="21" s="1"/>
  <c r="AO28" i="21"/>
  <c r="AP28" i="21" s="1"/>
  <c r="AO78" i="21"/>
  <c r="AP78" i="21" s="1"/>
  <c r="AO55" i="21"/>
  <c r="AP55" i="21" s="1"/>
  <c r="AO57" i="21"/>
  <c r="AP57" i="21" s="1"/>
  <c r="AO33" i="21"/>
  <c r="AP33" i="21" s="1"/>
  <c r="AO21" i="21"/>
  <c r="AP21" i="21" s="1"/>
  <c r="AO73" i="21"/>
  <c r="AP73" i="21" s="1"/>
  <c r="AO27" i="21"/>
  <c r="AP27" i="21" s="1"/>
  <c r="AO67" i="21"/>
  <c r="AP67" i="21" s="1"/>
  <c r="AL86" i="21"/>
  <c r="AL82" i="21"/>
  <c r="AL75" i="21"/>
  <c r="AL64" i="21"/>
  <c r="AL62" i="21"/>
  <c r="AL92" i="21"/>
  <c r="AL94" i="21"/>
  <c r="AL96" i="21"/>
  <c r="AL98" i="21"/>
  <c r="AL108" i="21"/>
  <c r="AL70" i="21"/>
  <c r="AL79" i="21"/>
  <c r="AL88" i="21"/>
  <c r="AL84" i="21"/>
  <c r="AL87" i="21"/>
  <c r="AL83" i="21"/>
  <c r="AL67" i="21"/>
  <c r="AL65" i="21"/>
  <c r="AL63" i="21"/>
  <c r="AL61" i="21"/>
  <c r="AL68" i="21"/>
  <c r="AL91" i="21"/>
  <c r="AL93" i="21"/>
  <c r="AL95" i="21"/>
  <c r="AL97" i="21"/>
  <c r="AL99" i="21"/>
  <c r="AL101" i="21"/>
  <c r="AL103" i="21"/>
  <c r="AL105" i="21"/>
  <c r="AL107" i="21"/>
  <c r="AL109" i="21"/>
  <c r="AL71" i="21"/>
  <c r="AL74" i="21"/>
  <c r="AL78" i="21"/>
  <c r="AL90" i="21"/>
  <c r="AL89" i="21"/>
  <c r="AL85" i="21"/>
  <c r="AL81" i="21"/>
  <c r="AL69" i="21"/>
  <c r="AL66" i="21"/>
  <c r="AL60" i="21"/>
  <c r="AL100" i="21"/>
  <c r="AL102" i="21"/>
  <c r="AL104" i="21"/>
  <c r="AL106" i="21"/>
  <c r="AL73" i="21"/>
  <c r="AL76" i="21"/>
  <c r="AL80" i="21"/>
  <c r="AL77" i="21"/>
  <c r="AL72" i="21"/>
  <c r="AL59" i="21"/>
  <c r="X66" i="21"/>
  <c r="Y66" i="21" s="1"/>
  <c r="Z66" i="21" s="1"/>
  <c r="X62" i="21"/>
  <c r="Y62" i="21" s="1"/>
  <c r="Z62" i="21" s="1"/>
  <c r="X53" i="21"/>
  <c r="Y53" i="21" s="1"/>
  <c r="Z53" i="21" s="1"/>
  <c r="X44" i="21"/>
  <c r="Y44" i="21" s="1"/>
  <c r="Z44" i="21" s="1"/>
  <c r="X76" i="21"/>
  <c r="Y76" i="21" s="1"/>
  <c r="Z76" i="21" s="1"/>
  <c r="U90" i="21"/>
  <c r="V90" i="21" s="1"/>
  <c r="W90" i="21" s="1"/>
  <c r="U82" i="21"/>
  <c r="V82" i="21" s="1"/>
  <c r="W82" i="21" s="1"/>
  <c r="U40" i="21"/>
  <c r="V40" i="21" s="1"/>
  <c r="W40" i="21" s="1"/>
  <c r="U57" i="21"/>
  <c r="V57" i="21" s="1"/>
  <c r="W57" i="21" s="1"/>
  <c r="U43" i="21"/>
  <c r="V43" i="21" s="1"/>
  <c r="W43" i="21" s="1"/>
  <c r="U26" i="21"/>
  <c r="V26" i="21" s="1"/>
  <c r="W26" i="21" s="1"/>
  <c r="AH26" i="21"/>
  <c r="AF26" i="21"/>
  <c r="AG26" i="21" s="1"/>
  <c r="U79" i="21"/>
  <c r="V79" i="21" s="1"/>
  <c r="W79" i="21" s="1"/>
  <c r="U67" i="21"/>
  <c r="V67" i="21" s="1"/>
  <c r="W67" i="21" s="1"/>
  <c r="U63" i="21"/>
  <c r="V63" i="21" s="1"/>
  <c r="W63" i="21" s="1"/>
  <c r="U58" i="21"/>
  <c r="V58" i="21" s="1"/>
  <c r="W58" i="21" s="1"/>
  <c r="U30" i="21"/>
  <c r="V30" i="21" s="1"/>
  <c r="W30" i="21" s="1"/>
  <c r="AF30" i="21"/>
  <c r="AG30" i="21" s="1"/>
  <c r="AH30" i="21"/>
  <c r="U52" i="21"/>
  <c r="V52" i="21" s="1"/>
  <c r="W52" i="21" s="1"/>
  <c r="U37" i="21"/>
  <c r="V37" i="21" s="1"/>
  <c r="W37" i="21" s="1"/>
  <c r="U23" i="21"/>
  <c r="V23" i="21" s="1"/>
  <c r="W23" i="21" s="1"/>
  <c r="AF23" i="21"/>
  <c r="AG23" i="21" s="1"/>
  <c r="AH23" i="21"/>
  <c r="U15" i="21"/>
  <c r="V15" i="21" s="1"/>
  <c r="W15" i="21" s="1"/>
  <c r="AH15" i="21"/>
  <c r="AF15" i="21"/>
  <c r="AG15" i="21" s="1"/>
  <c r="U11" i="21"/>
  <c r="V11" i="21" s="1"/>
  <c r="W11" i="21" s="1"/>
  <c r="AH11" i="21"/>
  <c r="AF11" i="21"/>
  <c r="AG11" i="21" s="1"/>
  <c r="U17" i="21"/>
  <c r="V17" i="21" s="1"/>
  <c r="W17" i="21" s="1"/>
  <c r="AF17" i="21"/>
  <c r="AG17" i="21" s="1"/>
  <c r="AH17" i="21"/>
  <c r="U42" i="21"/>
  <c r="V42" i="21" s="1"/>
  <c r="W42" i="21" s="1"/>
  <c r="U91" i="21"/>
  <c r="V91" i="21" s="1"/>
  <c r="W91" i="21" s="1"/>
  <c r="U95" i="21"/>
  <c r="V95" i="21" s="1"/>
  <c r="W95" i="21" s="1"/>
  <c r="U99" i="21"/>
  <c r="V99" i="21" s="1"/>
  <c r="W99" i="21" s="1"/>
  <c r="U103" i="21"/>
  <c r="V103" i="21" s="1"/>
  <c r="W103" i="21" s="1"/>
  <c r="U107" i="21"/>
  <c r="V107" i="21" s="1"/>
  <c r="W107" i="21" s="1"/>
  <c r="U71" i="21"/>
  <c r="V71" i="21" s="1"/>
  <c r="W71" i="21" s="1"/>
  <c r="U86" i="21"/>
  <c r="V86" i="21" s="1"/>
  <c r="W86" i="21" s="1"/>
  <c r="U55" i="21"/>
  <c r="V55" i="21" s="1"/>
  <c r="W55" i="21" s="1"/>
  <c r="U35" i="21"/>
  <c r="V35" i="21" s="1"/>
  <c r="W35" i="21" s="1"/>
  <c r="U50" i="21"/>
  <c r="V50" i="21" s="1"/>
  <c r="W50" i="21" s="1"/>
  <c r="U34" i="21"/>
  <c r="V34" i="21" s="1"/>
  <c r="W34" i="21" s="1"/>
  <c r="AH34" i="21"/>
  <c r="AF34" i="21"/>
  <c r="AG34" i="21" s="1"/>
  <c r="U64" i="21"/>
  <c r="V64" i="21" s="1"/>
  <c r="W64" i="21" s="1"/>
  <c r="U60" i="21"/>
  <c r="V60" i="21" s="1"/>
  <c r="W60" i="21" s="1"/>
  <c r="U31" i="21"/>
  <c r="V31" i="21" s="1"/>
  <c r="W31" i="21" s="1"/>
  <c r="AF31" i="21"/>
  <c r="AG31" i="21" s="1"/>
  <c r="AH31" i="21"/>
  <c r="U56" i="21"/>
  <c r="V56" i="21" s="1"/>
  <c r="W56" i="21" s="1"/>
  <c r="U41" i="21"/>
  <c r="V41" i="21" s="1"/>
  <c r="W41" i="21" s="1"/>
  <c r="U25" i="21"/>
  <c r="V25" i="21" s="1"/>
  <c r="W25" i="21" s="1"/>
  <c r="AH25" i="21"/>
  <c r="AF25" i="21"/>
  <c r="AG25" i="21" s="1"/>
  <c r="U16" i="21"/>
  <c r="V16" i="21" s="1"/>
  <c r="W16" i="21" s="1"/>
  <c r="AH16" i="21"/>
  <c r="AF16" i="21"/>
  <c r="AG16" i="21" s="1"/>
  <c r="U12" i="21"/>
  <c r="V12" i="21" s="1"/>
  <c r="W12" i="21" s="1"/>
  <c r="AH12" i="21"/>
  <c r="AF12" i="21"/>
  <c r="AG12" i="21" s="1"/>
  <c r="U18" i="21"/>
  <c r="V18" i="21" s="1"/>
  <c r="W18" i="21" s="1"/>
  <c r="AF18" i="21"/>
  <c r="AG18" i="21" s="1"/>
  <c r="AH18" i="21"/>
  <c r="U32" i="21"/>
  <c r="V32" i="21" s="1"/>
  <c r="W32" i="21" s="1"/>
  <c r="AH32" i="21"/>
  <c r="AF32" i="21"/>
  <c r="AG32" i="21" s="1"/>
  <c r="U51" i="21"/>
  <c r="V51" i="21" s="1"/>
  <c r="W51" i="21" s="1"/>
  <c r="U94" i="21"/>
  <c r="V94" i="21" s="1"/>
  <c r="W94" i="21" s="1"/>
  <c r="U98" i="21"/>
  <c r="V98" i="21" s="1"/>
  <c r="W98" i="21" s="1"/>
  <c r="U102" i="21"/>
  <c r="V102" i="21" s="1"/>
  <c r="W102" i="21" s="1"/>
  <c r="U106" i="21"/>
  <c r="V106" i="21" s="1"/>
  <c r="W106" i="21" s="1"/>
  <c r="U70" i="21"/>
  <c r="V70" i="21" s="1"/>
  <c r="W70" i="21" s="1"/>
  <c r="U88" i="21"/>
  <c r="V88" i="21" s="1"/>
  <c r="W88" i="21" s="1"/>
  <c r="U80" i="21"/>
  <c r="V80" i="21" s="1"/>
  <c r="W80" i="21" s="1"/>
  <c r="U36" i="21"/>
  <c r="V36" i="21" s="1"/>
  <c r="W36" i="21" s="1"/>
  <c r="U54" i="21"/>
  <c r="V54" i="21" s="1"/>
  <c r="W54" i="21" s="1"/>
  <c r="U39" i="21"/>
  <c r="V39" i="21" s="1"/>
  <c r="W39" i="21" s="1"/>
  <c r="U22" i="21"/>
  <c r="V22" i="21" s="1"/>
  <c r="W22" i="21" s="1"/>
  <c r="AF22" i="21"/>
  <c r="AG22" i="21" s="1"/>
  <c r="AH22" i="21"/>
  <c r="U72" i="21"/>
  <c r="V72" i="21" s="1"/>
  <c r="W72" i="21" s="1"/>
  <c r="U65" i="21"/>
  <c r="V65" i="21" s="1"/>
  <c r="W65" i="21" s="1"/>
  <c r="U61" i="21"/>
  <c r="V61" i="21" s="1"/>
  <c r="W61" i="21" s="1"/>
  <c r="U38" i="21"/>
  <c r="V38" i="21" s="1"/>
  <c r="W38" i="21" s="1"/>
  <c r="U68" i="21"/>
  <c r="V68" i="21" s="1"/>
  <c r="W68" i="21" s="1"/>
  <c r="U45" i="21"/>
  <c r="V45" i="21" s="1"/>
  <c r="W45" i="21" s="1"/>
  <c r="U29" i="21"/>
  <c r="V29" i="21" s="1"/>
  <c r="W29" i="21" s="1"/>
  <c r="AF29" i="21"/>
  <c r="AG29" i="21" s="1"/>
  <c r="AH29" i="21"/>
  <c r="U19" i="21"/>
  <c r="V19" i="21" s="1"/>
  <c r="W19" i="21" s="1"/>
  <c r="AH19" i="21"/>
  <c r="AF19" i="21"/>
  <c r="AG19" i="21" s="1"/>
  <c r="U13" i="21"/>
  <c r="V13" i="21" s="1"/>
  <c r="W13" i="21" s="1"/>
  <c r="AH13" i="21"/>
  <c r="AF13" i="21"/>
  <c r="AG13" i="21" s="1"/>
  <c r="U20" i="21"/>
  <c r="V20" i="21" s="1"/>
  <c r="W20" i="21" s="1"/>
  <c r="AF20" i="21"/>
  <c r="AG20" i="21" s="1"/>
  <c r="AH20" i="21"/>
  <c r="U59" i="21"/>
  <c r="V59" i="21" s="1"/>
  <c r="W59" i="21" s="1"/>
  <c r="U46" i="21"/>
  <c r="V46" i="21" s="1"/>
  <c r="W46" i="21" s="1"/>
  <c r="X91" i="21"/>
  <c r="Y91" i="21" s="1"/>
  <c r="Z91" i="21" s="1"/>
  <c r="X99" i="21"/>
  <c r="Y99" i="21" s="1"/>
  <c r="Z99" i="21" s="1"/>
  <c r="X107" i="21"/>
  <c r="Y107" i="21" s="1"/>
  <c r="Z107" i="21" s="1"/>
  <c r="U74" i="21"/>
  <c r="V74" i="21" s="1"/>
  <c r="W74" i="21" s="1"/>
  <c r="X90" i="21"/>
  <c r="Y90" i="21" s="1"/>
  <c r="Z90" i="21" s="1"/>
  <c r="X82" i="21"/>
  <c r="Y82" i="21" s="1"/>
  <c r="Z82" i="21" s="1"/>
  <c r="X40" i="21"/>
  <c r="Y40" i="21" s="1"/>
  <c r="Z40" i="21" s="1"/>
  <c r="X57" i="21"/>
  <c r="Y57" i="21" s="1"/>
  <c r="Z57" i="21" s="1"/>
  <c r="X43" i="21"/>
  <c r="Y43" i="21" s="1"/>
  <c r="Z43" i="21" s="1"/>
  <c r="X26" i="21"/>
  <c r="Y26" i="21" s="1"/>
  <c r="Z26" i="21" s="1"/>
  <c r="U66" i="21"/>
  <c r="V66" i="21" s="1"/>
  <c r="W66" i="21" s="1"/>
  <c r="U62" i="21"/>
  <c r="V62" i="21" s="1"/>
  <c r="W62" i="21" s="1"/>
  <c r="U53" i="21"/>
  <c r="V53" i="21" s="1"/>
  <c r="W53" i="21" s="1"/>
  <c r="U24" i="21"/>
  <c r="V24" i="21" s="1"/>
  <c r="W24" i="21" s="1"/>
  <c r="AF24" i="21"/>
  <c r="AG24" i="21" s="1"/>
  <c r="AH24" i="21"/>
  <c r="U48" i="21"/>
  <c r="V48" i="21" s="1"/>
  <c r="W48" i="21" s="1"/>
  <c r="U33" i="21"/>
  <c r="V33" i="21" s="1"/>
  <c r="W33" i="21" s="1"/>
  <c r="AH33" i="21"/>
  <c r="AF33" i="21"/>
  <c r="AG33" i="21" s="1"/>
  <c r="U21" i="21"/>
  <c r="V21" i="21" s="1"/>
  <c r="W21" i="21" s="1"/>
  <c r="AF21" i="21"/>
  <c r="AG21" i="21" s="1"/>
  <c r="AH21" i="21"/>
  <c r="Q21" i="21"/>
  <c r="U14" i="21"/>
  <c r="V14" i="21" s="1"/>
  <c r="W14" i="21" s="1"/>
  <c r="AH14" i="21"/>
  <c r="AF14" i="21"/>
  <c r="U9" i="21"/>
  <c r="V9" i="21" s="1"/>
  <c r="W9" i="21" s="1"/>
  <c r="AH9" i="21"/>
  <c r="AF9" i="21"/>
  <c r="U10" i="21"/>
  <c r="V10" i="21" s="1"/>
  <c r="W10" i="21" s="1"/>
  <c r="AF10" i="21"/>
  <c r="AG10" i="21" s="1"/>
  <c r="AH10" i="21"/>
  <c r="U44" i="21"/>
  <c r="V44" i="21" s="1"/>
  <c r="W44" i="21" s="1"/>
  <c r="U92" i="21"/>
  <c r="V92" i="21" s="1"/>
  <c r="W92" i="21" s="1"/>
  <c r="U96" i="21"/>
  <c r="V96" i="21" s="1"/>
  <c r="W96" i="21" s="1"/>
  <c r="U100" i="21"/>
  <c r="V100" i="21" s="1"/>
  <c r="W100" i="21" s="1"/>
  <c r="U104" i="21"/>
  <c r="V104" i="21" s="1"/>
  <c r="W104" i="21" s="1"/>
  <c r="U108" i="21"/>
  <c r="V108" i="21" s="1"/>
  <c r="W108" i="21" s="1"/>
  <c r="U73" i="21"/>
  <c r="V73" i="21" s="1"/>
  <c r="W73" i="21" s="1"/>
  <c r="U84" i="21"/>
  <c r="V84" i="21" s="1"/>
  <c r="W84" i="21" s="1"/>
  <c r="U49" i="21"/>
  <c r="V49" i="21" s="1"/>
  <c r="W49" i="21" s="1"/>
  <c r="U27" i="21"/>
  <c r="V27" i="21" s="1"/>
  <c r="W27" i="21" s="1"/>
  <c r="AF27" i="21"/>
  <c r="AG27" i="21" s="1"/>
  <c r="AH27" i="21"/>
  <c r="U47" i="21"/>
  <c r="V47" i="21" s="1"/>
  <c r="W47" i="21" s="1"/>
  <c r="U28" i="21"/>
  <c r="V28" i="21" s="1"/>
  <c r="W28" i="21" s="1"/>
  <c r="AH28" i="21"/>
  <c r="AF28" i="21"/>
  <c r="AG28" i="21" s="1"/>
  <c r="U87" i="21"/>
  <c r="V87" i="21" s="1"/>
  <c r="W87" i="21" s="1"/>
  <c r="U77" i="21"/>
  <c r="V77" i="21" s="1"/>
  <c r="W77" i="21" s="1"/>
  <c r="X67" i="21"/>
  <c r="Y67" i="21" s="1"/>
  <c r="Z67" i="21" s="1"/>
  <c r="X63" i="21"/>
  <c r="Y63" i="21" s="1"/>
  <c r="Z63" i="21" s="1"/>
  <c r="X58" i="21"/>
  <c r="Y58" i="21" s="1"/>
  <c r="Z58" i="21" s="1"/>
  <c r="X30" i="21"/>
  <c r="Y30" i="21" s="1"/>
  <c r="Z30" i="21" s="1"/>
  <c r="X52" i="21"/>
  <c r="Y52" i="21" s="1"/>
  <c r="Z52" i="21" s="1"/>
  <c r="X37" i="21"/>
  <c r="Y37" i="21" s="1"/>
  <c r="Z37" i="21" s="1"/>
  <c r="X23" i="21"/>
  <c r="Y23" i="21" s="1"/>
  <c r="Z23" i="21" s="1"/>
  <c r="X15" i="21"/>
  <c r="Y15" i="21" s="1"/>
  <c r="Z15" i="21" s="1"/>
  <c r="X11" i="21"/>
  <c r="Y11" i="21" s="1"/>
  <c r="Z11" i="21" s="1"/>
  <c r="X17" i="21"/>
  <c r="Y17" i="21" s="1"/>
  <c r="Z17" i="21" s="1"/>
  <c r="X42" i="21"/>
  <c r="Y42" i="21" s="1"/>
  <c r="Z42" i="21" s="1"/>
  <c r="U78" i="21"/>
  <c r="V78" i="21" s="1"/>
  <c r="W78" i="21" s="1"/>
  <c r="X86" i="21"/>
  <c r="Y86" i="21" s="1"/>
  <c r="Z86" i="21" s="1"/>
  <c r="X55" i="21"/>
  <c r="Y55" i="21" s="1"/>
  <c r="Z55" i="21" s="1"/>
  <c r="X35" i="21"/>
  <c r="Y35" i="21" s="1"/>
  <c r="Z35" i="21" s="1"/>
  <c r="X50" i="21"/>
  <c r="Y50" i="21" s="1"/>
  <c r="Z50" i="21" s="1"/>
  <c r="X34" i="21"/>
  <c r="Y34" i="21" s="1"/>
  <c r="Z34" i="21" s="1"/>
  <c r="X64" i="21"/>
  <c r="Y64" i="21" s="1"/>
  <c r="Z64" i="21" s="1"/>
  <c r="X60" i="21"/>
  <c r="Y60" i="21" s="1"/>
  <c r="Z60" i="21" s="1"/>
  <c r="X31" i="21"/>
  <c r="Y31" i="21" s="1"/>
  <c r="Z31" i="21" s="1"/>
  <c r="X56" i="21"/>
  <c r="Y56" i="21" s="1"/>
  <c r="Z56" i="21" s="1"/>
  <c r="X41" i="21"/>
  <c r="Y41" i="21" s="1"/>
  <c r="Z41" i="21" s="1"/>
  <c r="X25" i="21"/>
  <c r="Y25" i="21" s="1"/>
  <c r="Z25" i="21" s="1"/>
  <c r="X16" i="21"/>
  <c r="Y16" i="21" s="1"/>
  <c r="Z16" i="21" s="1"/>
  <c r="X12" i="21"/>
  <c r="Y12" i="21" s="1"/>
  <c r="Z12" i="21" s="1"/>
  <c r="X18" i="21"/>
  <c r="Y18" i="21" s="1"/>
  <c r="Z18" i="21" s="1"/>
  <c r="X32" i="21"/>
  <c r="Y32" i="21" s="1"/>
  <c r="Z32" i="21" s="1"/>
  <c r="X51" i="21"/>
  <c r="Y51" i="21" s="1"/>
  <c r="Z51" i="21" s="1"/>
  <c r="X94" i="21"/>
  <c r="Y94" i="21" s="1"/>
  <c r="Z94" i="21" s="1"/>
  <c r="X98" i="21"/>
  <c r="Y98" i="21" s="1"/>
  <c r="Z98" i="21" s="1"/>
  <c r="X102" i="21"/>
  <c r="Y102" i="21" s="1"/>
  <c r="Z102" i="21" s="1"/>
  <c r="X106" i="21"/>
  <c r="Y106" i="21" s="1"/>
  <c r="Z106" i="21" s="1"/>
  <c r="X70" i="21"/>
  <c r="Y70" i="21" s="1"/>
  <c r="Z70" i="21" s="1"/>
  <c r="U76" i="21"/>
  <c r="V76" i="21" s="1"/>
  <c r="W76" i="21" s="1"/>
  <c r="X79" i="21"/>
  <c r="Y79" i="21" s="1"/>
  <c r="Z79" i="21" s="1"/>
  <c r="X88" i="21"/>
  <c r="Y88" i="21" s="1"/>
  <c r="Z88" i="21" s="1"/>
  <c r="X80" i="21"/>
  <c r="Y80" i="21" s="1"/>
  <c r="Z80" i="21" s="1"/>
  <c r="X36" i="21"/>
  <c r="Y36" i="21" s="1"/>
  <c r="Z36" i="21" s="1"/>
  <c r="X54" i="21"/>
  <c r="Y54" i="21" s="1"/>
  <c r="Z54" i="21" s="1"/>
  <c r="X39" i="21"/>
  <c r="Y39" i="21" s="1"/>
  <c r="Z39" i="21" s="1"/>
  <c r="X22" i="21"/>
  <c r="Y22" i="21" s="1"/>
  <c r="Z22" i="21" s="1"/>
  <c r="X77" i="21"/>
  <c r="Y77" i="21" s="1"/>
  <c r="Z77" i="21" s="1"/>
  <c r="X72" i="21"/>
  <c r="Y72" i="21" s="1"/>
  <c r="Z72" i="21" s="1"/>
  <c r="X65" i="21"/>
  <c r="Y65" i="21" s="1"/>
  <c r="Z65" i="21" s="1"/>
  <c r="X61" i="21"/>
  <c r="Y61" i="21" s="1"/>
  <c r="Z61" i="21" s="1"/>
  <c r="X38" i="21"/>
  <c r="Y38" i="21" s="1"/>
  <c r="Z38" i="21" s="1"/>
  <c r="X68" i="21"/>
  <c r="Y68" i="21" s="1"/>
  <c r="Z68" i="21" s="1"/>
  <c r="X45" i="21"/>
  <c r="Y45" i="21" s="1"/>
  <c r="Z45" i="21" s="1"/>
  <c r="X29" i="21"/>
  <c r="Y29" i="21" s="1"/>
  <c r="Z29" i="21" s="1"/>
  <c r="X19" i="21"/>
  <c r="Y19" i="21" s="1"/>
  <c r="Z19" i="21" s="1"/>
  <c r="X13" i="21"/>
  <c r="Y13" i="21" s="1"/>
  <c r="Z13" i="21" s="1"/>
  <c r="X20" i="21"/>
  <c r="Y20" i="21" s="1"/>
  <c r="Z20" i="21" s="1"/>
  <c r="X59" i="21"/>
  <c r="Y59" i="21" s="1"/>
  <c r="Z59" i="21" s="1"/>
  <c r="X46" i="21"/>
  <c r="Y46" i="21" s="1"/>
  <c r="Z46" i="21" s="1"/>
  <c r="X95" i="21"/>
  <c r="Y95" i="21" s="1"/>
  <c r="Z95" i="21" s="1"/>
  <c r="X103" i="21"/>
  <c r="Y103" i="21" s="1"/>
  <c r="Z103" i="21" s="1"/>
  <c r="X71" i="21"/>
  <c r="Y71" i="21" s="1"/>
  <c r="Z71" i="21" s="1"/>
  <c r="X74" i="21"/>
  <c r="Y74" i="21" s="1"/>
  <c r="Z74" i="21" s="1"/>
  <c r="Q81" i="21"/>
  <c r="R81" i="21" s="1"/>
  <c r="AJ25" i="21"/>
  <c r="Q98" i="21"/>
  <c r="Q59" i="21"/>
  <c r="AS59" i="21" s="1"/>
  <c r="Q97" i="21"/>
  <c r="Q101" i="21"/>
  <c r="R101" i="21" s="1"/>
  <c r="S81" i="21"/>
  <c r="Q74" i="21"/>
  <c r="R74" i="21" s="1"/>
  <c r="AJ57" i="21"/>
  <c r="AK57" i="21" s="1"/>
  <c r="AQ43" i="21"/>
  <c r="Y81" i="21"/>
  <c r="Z81" i="21" s="1"/>
  <c r="Q83" i="21"/>
  <c r="AS83" i="21" s="1"/>
  <c r="AQ45" i="21"/>
  <c r="S90" i="21"/>
  <c r="S57" i="21"/>
  <c r="AA57" i="21"/>
  <c r="AB57" i="21" s="1"/>
  <c r="S106" i="21"/>
  <c r="S83" i="21"/>
  <c r="S45" i="21"/>
  <c r="AA45" i="21"/>
  <c r="AB45" i="21" s="1"/>
  <c r="S93" i="21"/>
  <c r="S109" i="21"/>
  <c r="Q45" i="21"/>
  <c r="AS45" i="21" s="1"/>
  <c r="Q57" i="21"/>
  <c r="R57" i="21" s="1"/>
  <c r="AM50" i="21"/>
  <c r="AF85" i="21"/>
  <c r="AG85" i="21" s="1"/>
  <c r="AM85" i="21"/>
  <c r="AQ85" i="21"/>
  <c r="AM75" i="21"/>
  <c r="AQ75" i="21"/>
  <c r="AM65" i="21"/>
  <c r="AQ65" i="21"/>
  <c r="AF61" i="21"/>
  <c r="AG61" i="21" s="1"/>
  <c r="AM61" i="21"/>
  <c r="AQ61" i="21"/>
  <c r="AJ61" i="21"/>
  <c r="AK61" i="21" s="1"/>
  <c r="AF46" i="21"/>
  <c r="AG46" i="21" s="1"/>
  <c r="AM46" i="21"/>
  <c r="AF91" i="21"/>
  <c r="AG91" i="21" s="1"/>
  <c r="AM91" i="21"/>
  <c r="AQ91" i="21"/>
  <c r="AM95" i="21"/>
  <c r="AQ95" i="21"/>
  <c r="AF99" i="21"/>
  <c r="AG99" i="21" s="1"/>
  <c r="AM99" i="21"/>
  <c r="AQ99" i="21"/>
  <c r="AM103" i="21"/>
  <c r="AQ103" i="21"/>
  <c r="AF107" i="21"/>
  <c r="AG107" i="21" s="1"/>
  <c r="AM107" i="21"/>
  <c r="AQ107" i="21"/>
  <c r="AM71" i="21"/>
  <c r="AQ71" i="21"/>
  <c r="AJ71" i="21"/>
  <c r="AK71" i="21" s="1"/>
  <c r="AM78" i="21"/>
  <c r="AQ78" i="21"/>
  <c r="AA40" i="21"/>
  <c r="AB40" i="21" s="1"/>
  <c r="AM89" i="21"/>
  <c r="AQ89" i="21"/>
  <c r="AJ89" i="21"/>
  <c r="AK89" i="21" s="1"/>
  <c r="AA89" i="21"/>
  <c r="AB89" i="21" s="1"/>
  <c r="AE89" i="21" s="1"/>
  <c r="AM102" i="21"/>
  <c r="AQ102" i="21"/>
  <c r="AJ102" i="21"/>
  <c r="AK102" i="21" s="1"/>
  <c r="AA102" i="21"/>
  <c r="AB102" i="21" s="1"/>
  <c r="AJ95" i="21"/>
  <c r="AK95" i="21" s="1"/>
  <c r="AM97" i="21"/>
  <c r="AQ97" i="21"/>
  <c r="AJ97" i="21"/>
  <c r="AK97" i="21" s="1"/>
  <c r="AA97" i="21"/>
  <c r="AB97" i="21" s="1"/>
  <c r="AE97" i="21" s="1"/>
  <c r="AM59" i="21"/>
  <c r="AA59" i="21"/>
  <c r="AB59" i="21" s="1"/>
  <c r="AQ59" i="21"/>
  <c r="AJ99" i="21"/>
  <c r="AK99" i="21" s="1"/>
  <c r="AM101" i="21"/>
  <c r="AA101" i="21"/>
  <c r="AB101" i="21" s="1"/>
  <c r="AE101" i="21" s="1"/>
  <c r="AQ101" i="21"/>
  <c r="AM86" i="21"/>
  <c r="AQ86" i="21"/>
  <c r="AJ43" i="21"/>
  <c r="AK43" i="21" s="1"/>
  <c r="AA75" i="21"/>
  <c r="AB75" i="21" s="1"/>
  <c r="AE75" i="21" s="1"/>
  <c r="AM69" i="21"/>
  <c r="AQ69" i="21"/>
  <c r="AF64" i="21"/>
  <c r="AG64" i="21" s="1"/>
  <c r="AM64" i="21"/>
  <c r="AQ64" i="21"/>
  <c r="AJ64" i="21"/>
  <c r="AK64" i="21" s="1"/>
  <c r="AM60" i="21"/>
  <c r="AQ60" i="21"/>
  <c r="AQ56" i="21"/>
  <c r="AJ41" i="21"/>
  <c r="AK41" i="21" s="1"/>
  <c r="Q51" i="21"/>
  <c r="AM51" i="21"/>
  <c r="AM92" i="21"/>
  <c r="AQ92" i="21"/>
  <c r="AM96" i="21"/>
  <c r="AQ96" i="21"/>
  <c r="AM100" i="21"/>
  <c r="AQ100" i="21"/>
  <c r="Q102" i="21"/>
  <c r="AS102" i="21" s="1"/>
  <c r="AM104" i="21"/>
  <c r="AQ104" i="21"/>
  <c r="AM108" i="21"/>
  <c r="AQ108" i="21"/>
  <c r="AM73" i="21"/>
  <c r="AQ73" i="21"/>
  <c r="AM79" i="21"/>
  <c r="AQ79" i="21"/>
  <c r="AJ79" i="21"/>
  <c r="AK79" i="21" s="1"/>
  <c r="AM88" i="21"/>
  <c r="AQ88" i="21"/>
  <c r="AM80" i="21"/>
  <c r="AQ80" i="21"/>
  <c r="AF87" i="21"/>
  <c r="AG87" i="21" s="1"/>
  <c r="AM87" i="21"/>
  <c r="AQ87" i="21"/>
  <c r="AM77" i="21"/>
  <c r="AQ77" i="21"/>
  <c r="S43" i="21"/>
  <c r="AA43" i="21"/>
  <c r="AB43" i="21" s="1"/>
  <c r="S89" i="21"/>
  <c r="S56" i="21"/>
  <c r="AA56" i="21"/>
  <c r="AB56" i="21" s="1"/>
  <c r="S59" i="21"/>
  <c r="S97" i="21"/>
  <c r="S101" i="21"/>
  <c r="AJ86" i="21"/>
  <c r="AK86" i="21" s="1"/>
  <c r="AM82" i="21"/>
  <c r="AQ82" i="21"/>
  <c r="AJ82" i="21"/>
  <c r="AK82" i="21" s="1"/>
  <c r="AA82" i="21"/>
  <c r="AB82" i="21" s="1"/>
  <c r="Q43" i="21"/>
  <c r="AJ75" i="21"/>
  <c r="AK75" i="21" s="1"/>
  <c r="Q56" i="21"/>
  <c r="AJ92" i="21"/>
  <c r="AK92" i="21" s="1"/>
  <c r="AM94" i="21"/>
  <c r="AQ94" i="21"/>
  <c r="AJ94" i="21"/>
  <c r="AK94" i="21" s="1"/>
  <c r="AA94" i="21"/>
  <c r="AB94" i="21" s="1"/>
  <c r="AJ108" i="21"/>
  <c r="AK108" i="21" s="1"/>
  <c r="AJ77" i="21"/>
  <c r="AK77" i="21" s="1"/>
  <c r="AM72" i="21"/>
  <c r="AQ72" i="21"/>
  <c r="AJ72" i="21"/>
  <c r="AK72" i="21" s="1"/>
  <c r="AA72" i="21"/>
  <c r="AB72" i="21" s="1"/>
  <c r="AM90" i="21"/>
  <c r="AA90" i="21"/>
  <c r="AB90" i="21" s="1"/>
  <c r="AQ90" i="21"/>
  <c r="AJ90" i="21"/>
  <c r="AK90" i="21" s="1"/>
  <c r="AJ85" i="21"/>
  <c r="AK85" i="21" s="1"/>
  <c r="AJ96" i="21"/>
  <c r="AK96" i="21" s="1"/>
  <c r="AM106" i="21"/>
  <c r="AA106" i="21"/>
  <c r="AB106" i="21" s="1"/>
  <c r="AQ106" i="21"/>
  <c r="AJ106" i="21"/>
  <c r="AK106" i="21" s="1"/>
  <c r="AJ88" i="21"/>
  <c r="AK88" i="21" s="1"/>
  <c r="AM83" i="21"/>
  <c r="AA83" i="21"/>
  <c r="AB83" i="21" s="1"/>
  <c r="AE83" i="21" s="1"/>
  <c r="AQ83" i="21"/>
  <c r="AJ83" i="21"/>
  <c r="AK83" i="21" s="1"/>
  <c r="AJ101" i="21"/>
  <c r="AK101" i="21" s="1"/>
  <c r="AJ103" i="21"/>
  <c r="AK103" i="21" s="1"/>
  <c r="AM105" i="21"/>
  <c r="AQ105" i="21"/>
  <c r="AJ105" i="21"/>
  <c r="AK105" i="21" s="1"/>
  <c r="AA105" i="21"/>
  <c r="AB105" i="21" s="1"/>
  <c r="AE105" i="21" s="1"/>
  <c r="AJ78" i="21"/>
  <c r="AK78" i="21" s="1"/>
  <c r="AM81" i="21"/>
  <c r="AA81" i="21"/>
  <c r="AB81" i="21" s="1"/>
  <c r="AQ81" i="21"/>
  <c r="AJ81" i="21"/>
  <c r="AK81" i="21" s="1"/>
  <c r="AJ69" i="21"/>
  <c r="AK69" i="21" s="1"/>
  <c r="AJ60" i="21"/>
  <c r="AK60" i="21" s="1"/>
  <c r="AM98" i="21"/>
  <c r="AA98" i="21"/>
  <c r="AB98" i="21" s="1"/>
  <c r="AQ98" i="21"/>
  <c r="AJ98" i="21"/>
  <c r="AK98" i="21" s="1"/>
  <c r="AJ104" i="21"/>
  <c r="AK104" i="21" s="1"/>
  <c r="AJ73" i="21"/>
  <c r="AK73" i="21" s="1"/>
  <c r="AM84" i="21"/>
  <c r="AA84" i="21"/>
  <c r="AB84" i="21" s="1"/>
  <c r="AQ84" i="21"/>
  <c r="AJ84" i="21"/>
  <c r="AK84" i="21" s="1"/>
  <c r="AJ87" i="21"/>
  <c r="AK87" i="21" s="1"/>
  <c r="AJ65" i="21"/>
  <c r="AK65" i="21" s="1"/>
  <c r="AM68" i="21"/>
  <c r="AQ68" i="21"/>
  <c r="AA68" i="21"/>
  <c r="AB68" i="21" s="1"/>
  <c r="AJ91" i="21"/>
  <c r="AK91" i="21" s="1"/>
  <c r="AM93" i="21"/>
  <c r="AA93" i="21"/>
  <c r="AB93" i="21" s="1"/>
  <c r="AE93" i="21" s="1"/>
  <c r="AQ93" i="21"/>
  <c r="AJ107" i="21"/>
  <c r="AK107" i="21" s="1"/>
  <c r="AM109" i="21"/>
  <c r="AA109" i="21"/>
  <c r="AB109" i="21" s="1"/>
  <c r="AE109" i="21" s="1"/>
  <c r="AQ109" i="21"/>
  <c r="AL53" i="20"/>
  <c r="AL40" i="21"/>
  <c r="AL50" i="21"/>
  <c r="AL34" i="21"/>
  <c r="AL31" i="21"/>
  <c r="AL48" i="21"/>
  <c r="AL33" i="21"/>
  <c r="AL16" i="21"/>
  <c r="AL12" i="21"/>
  <c r="AL10" i="21"/>
  <c r="AL32" i="21"/>
  <c r="AL51" i="21"/>
  <c r="AL49" i="21"/>
  <c r="AL27" i="21"/>
  <c r="AL54" i="21"/>
  <c r="AL39" i="21"/>
  <c r="AL38" i="21"/>
  <c r="AL52" i="21"/>
  <c r="AL37" i="21"/>
  <c r="AL23" i="21"/>
  <c r="AL19" i="21"/>
  <c r="AL13" i="21"/>
  <c r="AL17" i="21"/>
  <c r="AL46" i="21"/>
  <c r="AL55" i="21"/>
  <c r="AL35" i="21"/>
  <c r="AL57" i="21"/>
  <c r="AL43" i="21"/>
  <c r="AL26" i="21"/>
  <c r="AL53" i="21"/>
  <c r="AL24" i="21"/>
  <c r="AL56" i="21"/>
  <c r="AL41" i="21"/>
  <c r="AL25" i="21"/>
  <c r="AL21" i="21"/>
  <c r="AL14" i="21"/>
  <c r="AL9" i="21"/>
  <c r="AL18" i="21"/>
  <c r="AL44" i="21"/>
  <c r="AL36" i="21"/>
  <c r="AL47" i="21"/>
  <c r="AL28" i="21"/>
  <c r="AL22" i="21"/>
  <c r="AL58" i="21"/>
  <c r="AL30" i="21"/>
  <c r="AL45" i="21"/>
  <c r="AL29" i="21"/>
  <c r="AL15" i="21"/>
  <c r="AL11" i="21"/>
  <c r="AL20" i="21"/>
  <c r="AL42" i="21"/>
  <c r="R90" i="21"/>
  <c r="AS90" i="21"/>
  <c r="S86" i="21"/>
  <c r="AH86" i="21"/>
  <c r="Q86" i="21"/>
  <c r="S40" i="21"/>
  <c r="AM40" i="21"/>
  <c r="AQ40" i="21"/>
  <c r="AH40" i="21"/>
  <c r="AA85" i="21"/>
  <c r="AB85" i="21" s="1"/>
  <c r="S75" i="21"/>
  <c r="AH75" i="21"/>
  <c r="Q75" i="21"/>
  <c r="S69" i="21"/>
  <c r="Q69" i="21"/>
  <c r="AH69" i="21"/>
  <c r="S60" i="21"/>
  <c r="Q60" i="21"/>
  <c r="AH60" i="21"/>
  <c r="S31" i="21"/>
  <c r="AM31" i="21"/>
  <c r="AQ31" i="21"/>
  <c r="Q31" i="21"/>
  <c r="AA31" i="21"/>
  <c r="AB31" i="21" s="1"/>
  <c r="AJ31" i="21"/>
  <c r="S48" i="21"/>
  <c r="AH48" i="21"/>
  <c r="AJ48" i="21"/>
  <c r="AK48" i="21" s="1"/>
  <c r="AQ48" i="21"/>
  <c r="Q48" i="21"/>
  <c r="AA48" i="21"/>
  <c r="AB48" i="21" s="1"/>
  <c r="S33" i="21"/>
  <c r="AM33" i="21"/>
  <c r="AA33" i="21"/>
  <c r="AB33" i="21" s="1"/>
  <c r="AJ33" i="21"/>
  <c r="AQ33" i="21"/>
  <c r="Q33" i="21"/>
  <c r="S16" i="21"/>
  <c r="AM16" i="21"/>
  <c r="AQ16" i="21"/>
  <c r="Q16" i="21"/>
  <c r="AA16" i="21"/>
  <c r="AB16" i="21" s="1"/>
  <c r="AJ16" i="21"/>
  <c r="S12" i="21"/>
  <c r="AM12" i="21"/>
  <c r="AQ12" i="21"/>
  <c r="Q12" i="21"/>
  <c r="AA12" i="21"/>
  <c r="AB12" i="21" s="1"/>
  <c r="AJ12" i="21"/>
  <c r="AA92" i="21"/>
  <c r="AB92" i="21" s="1"/>
  <c r="S96" i="21"/>
  <c r="AH96" i="21"/>
  <c r="Q96" i="21"/>
  <c r="AA100" i="21"/>
  <c r="AB100" i="21" s="1"/>
  <c r="S104" i="21"/>
  <c r="AH104" i="21"/>
  <c r="Q104" i="21"/>
  <c r="AA108" i="21"/>
  <c r="AB108" i="21" s="1"/>
  <c r="S79" i="21"/>
  <c r="Q79" i="21"/>
  <c r="AH79" i="21"/>
  <c r="AA88" i="21"/>
  <c r="AB88" i="21" s="1"/>
  <c r="S80" i="21"/>
  <c r="AH80" i="21"/>
  <c r="Q80" i="21"/>
  <c r="S49" i="21"/>
  <c r="AQ49" i="21"/>
  <c r="AH49" i="21"/>
  <c r="AJ49" i="21"/>
  <c r="AK49" i="21" s="1"/>
  <c r="AF36" i="21"/>
  <c r="S54" i="21"/>
  <c r="AH54" i="21"/>
  <c r="AJ54" i="21"/>
  <c r="AK54" i="21" s="1"/>
  <c r="AQ54" i="21"/>
  <c r="Q54" i="21"/>
  <c r="AA54" i="21"/>
  <c r="AB54" i="21" s="1"/>
  <c r="AJ39" i="21"/>
  <c r="AK39" i="21" s="1"/>
  <c r="Q39" i="21"/>
  <c r="AA87" i="21"/>
  <c r="AB87" i="21" s="1"/>
  <c r="S77" i="21"/>
  <c r="AH77" i="21"/>
  <c r="Q77" i="21"/>
  <c r="S65" i="21"/>
  <c r="Q65" i="21"/>
  <c r="AH65" i="21"/>
  <c r="S38" i="21"/>
  <c r="AM38" i="21"/>
  <c r="AQ38" i="21"/>
  <c r="AH38" i="21"/>
  <c r="S52" i="21"/>
  <c r="AH52" i="21"/>
  <c r="AJ52" i="21"/>
  <c r="AK52" i="21" s="1"/>
  <c r="AQ52" i="21"/>
  <c r="Q52" i="21"/>
  <c r="AA52" i="21"/>
  <c r="AB52" i="21" s="1"/>
  <c r="AJ37" i="21"/>
  <c r="AK37" i="21" s="1"/>
  <c r="Q37" i="21"/>
  <c r="S23" i="21"/>
  <c r="AM23" i="21"/>
  <c r="AA23" i="21"/>
  <c r="AB23" i="21" s="1"/>
  <c r="AJ23" i="21"/>
  <c r="AQ23" i="21"/>
  <c r="Q23" i="21"/>
  <c r="S19" i="21"/>
  <c r="AM19" i="21"/>
  <c r="AQ19" i="21"/>
  <c r="Q19" i="21"/>
  <c r="AA19" i="21"/>
  <c r="AB19" i="21" s="1"/>
  <c r="AJ19" i="21"/>
  <c r="S13" i="21"/>
  <c r="AM13" i="21"/>
  <c r="AQ13" i="21"/>
  <c r="Q13" i="21"/>
  <c r="AA13" i="21"/>
  <c r="AB13" i="21" s="1"/>
  <c r="AJ13" i="21"/>
  <c r="AA91" i="21"/>
  <c r="AB91" i="21" s="1"/>
  <c r="S95" i="21"/>
  <c r="AH95" i="21"/>
  <c r="Q95" i="21"/>
  <c r="AA99" i="21"/>
  <c r="AB99" i="21" s="1"/>
  <c r="S103" i="21"/>
  <c r="AH103" i="21"/>
  <c r="Q103" i="21"/>
  <c r="AA107" i="21"/>
  <c r="AB107" i="21" s="1"/>
  <c r="S78" i="21"/>
  <c r="Q78" i="21"/>
  <c r="AH78" i="21"/>
  <c r="R183" i="20"/>
  <c r="T183" i="20" s="1"/>
  <c r="BI183" i="20" s="1"/>
  <c r="AS183" i="20"/>
  <c r="AG116" i="20"/>
  <c r="AI116" i="20" s="1"/>
  <c r="AV116" i="20"/>
  <c r="BL116" i="20" s="1"/>
  <c r="AF86" i="21"/>
  <c r="AF40" i="21"/>
  <c r="S26" i="21"/>
  <c r="AM26" i="21"/>
  <c r="AQ26" i="21"/>
  <c r="Q26" i="21"/>
  <c r="AA26" i="21"/>
  <c r="AB26" i="21" s="1"/>
  <c r="AA69" i="21"/>
  <c r="AB69" i="21" s="1"/>
  <c r="AE69" i="21" s="1"/>
  <c r="AA60" i="21"/>
  <c r="AB60" i="21" s="1"/>
  <c r="AF48" i="21"/>
  <c r="S41" i="21"/>
  <c r="AM41" i="21"/>
  <c r="AQ41" i="21"/>
  <c r="AH41" i="21"/>
  <c r="AA51" i="21"/>
  <c r="AB51" i="21" s="1"/>
  <c r="AF96" i="21"/>
  <c r="AF104" i="21"/>
  <c r="AA73" i="21"/>
  <c r="AB73" i="21" s="1"/>
  <c r="AF79" i="21"/>
  <c r="AF80" i="21"/>
  <c r="AA49" i="21"/>
  <c r="AB49" i="21" s="1"/>
  <c r="AF54" i="21"/>
  <c r="AF39" i="21"/>
  <c r="S28" i="21"/>
  <c r="AM28" i="21"/>
  <c r="AQ28" i="21"/>
  <c r="Q28" i="21"/>
  <c r="AA28" i="21"/>
  <c r="AB28" i="21" s="1"/>
  <c r="AA65" i="21"/>
  <c r="AB65" i="21" s="1"/>
  <c r="Q38" i="21"/>
  <c r="AJ38" i="21"/>
  <c r="AK38" i="21" s="1"/>
  <c r="AF52" i="21"/>
  <c r="AF37" i="21"/>
  <c r="S29" i="21"/>
  <c r="AM29" i="21"/>
  <c r="AQ29" i="21"/>
  <c r="Q29" i="21"/>
  <c r="AA29" i="21"/>
  <c r="AB29" i="21" s="1"/>
  <c r="AA71" i="21"/>
  <c r="AB71" i="21" s="1"/>
  <c r="AF78" i="21"/>
  <c r="AA38" i="21"/>
  <c r="AB38" i="21" s="1"/>
  <c r="AA37" i="21"/>
  <c r="AB37" i="21" s="1"/>
  <c r="C79" i="21"/>
  <c r="B79" i="21" s="1"/>
  <c r="B80" i="21" s="1"/>
  <c r="B70" i="21"/>
  <c r="AJ35" i="21"/>
  <c r="AK35" i="21" s="1"/>
  <c r="Q35" i="21"/>
  <c r="S50" i="21"/>
  <c r="AH50" i="21"/>
  <c r="AJ50" i="21"/>
  <c r="AK50" i="21" s="1"/>
  <c r="AQ50" i="21"/>
  <c r="Q50" i="21"/>
  <c r="AA50" i="21"/>
  <c r="AB50" i="21" s="1"/>
  <c r="S34" i="21"/>
  <c r="AM34" i="21"/>
  <c r="AA34" i="21"/>
  <c r="AB34" i="21" s="1"/>
  <c r="AJ34" i="21"/>
  <c r="AQ34" i="21"/>
  <c r="Q34" i="21"/>
  <c r="AK26" i="21"/>
  <c r="S85" i="21"/>
  <c r="AH85" i="21"/>
  <c r="Q85" i="21"/>
  <c r="S64" i="21"/>
  <c r="Q64" i="21"/>
  <c r="AH64" i="21"/>
  <c r="AG56" i="21"/>
  <c r="S10" i="21"/>
  <c r="AM10" i="21"/>
  <c r="AA10" i="21"/>
  <c r="AB10" i="21" s="1"/>
  <c r="AJ10" i="21"/>
  <c r="AQ10" i="21"/>
  <c r="Q10" i="21"/>
  <c r="S32" i="21"/>
  <c r="AM32" i="21"/>
  <c r="AQ32" i="21"/>
  <c r="Q32" i="21"/>
  <c r="AA32" i="21"/>
  <c r="AB32" i="21" s="1"/>
  <c r="AJ32" i="21"/>
  <c r="S51" i="21"/>
  <c r="AQ51" i="21"/>
  <c r="AH51" i="21"/>
  <c r="AJ51" i="21"/>
  <c r="AK51" i="21" s="1"/>
  <c r="S92" i="21"/>
  <c r="AH92" i="21"/>
  <c r="Q92" i="21"/>
  <c r="AA96" i="21"/>
  <c r="AB96" i="21" s="1"/>
  <c r="S100" i="21"/>
  <c r="AH100" i="21"/>
  <c r="Q100" i="21"/>
  <c r="AA104" i="21"/>
  <c r="AB104" i="21" s="1"/>
  <c r="S108" i="21"/>
  <c r="AH108" i="21"/>
  <c r="Q108" i="21"/>
  <c r="S73" i="21"/>
  <c r="Q73" i="21"/>
  <c r="AH73" i="21"/>
  <c r="S88" i="21"/>
  <c r="AH88" i="21"/>
  <c r="Q88" i="21"/>
  <c r="AA80" i="21"/>
  <c r="AB80" i="21" s="1"/>
  <c r="AJ36" i="21"/>
  <c r="AK36" i="21" s="1"/>
  <c r="Q36" i="21"/>
  <c r="S27" i="21"/>
  <c r="AM27" i="21"/>
  <c r="AQ27" i="21"/>
  <c r="Q27" i="21"/>
  <c r="AA27" i="21"/>
  <c r="AB27" i="21" s="1"/>
  <c r="AJ27" i="21"/>
  <c r="S39" i="21"/>
  <c r="AM39" i="21"/>
  <c r="AH39" i="21"/>
  <c r="AQ39" i="21"/>
  <c r="AK28" i="21"/>
  <c r="S87" i="21"/>
  <c r="AH87" i="21"/>
  <c r="Q87" i="21"/>
  <c r="S61" i="21"/>
  <c r="Q61" i="21"/>
  <c r="AH61" i="21"/>
  <c r="S37" i="21"/>
  <c r="AM37" i="21"/>
  <c r="AH37" i="21"/>
  <c r="AQ37" i="21"/>
  <c r="AK29" i="21"/>
  <c r="S17" i="21"/>
  <c r="AM17" i="21"/>
  <c r="AA17" i="21"/>
  <c r="AB17" i="21" s="1"/>
  <c r="AJ17" i="21"/>
  <c r="AQ17" i="21"/>
  <c r="Q17" i="21"/>
  <c r="AJ42" i="21"/>
  <c r="AK42" i="21" s="1"/>
  <c r="Q42" i="21"/>
  <c r="S46" i="21"/>
  <c r="AQ46" i="21"/>
  <c r="AH46" i="21"/>
  <c r="AJ46" i="21"/>
  <c r="AK46" i="21" s="1"/>
  <c r="S91" i="21"/>
  <c r="AH91" i="21"/>
  <c r="Q91" i="21"/>
  <c r="AA95" i="21"/>
  <c r="AB95" i="21" s="1"/>
  <c r="S99" i="21"/>
  <c r="AH99" i="21"/>
  <c r="Q99" i="21"/>
  <c r="AA103" i="21"/>
  <c r="AB103" i="21" s="1"/>
  <c r="S107" i="21"/>
  <c r="AH107" i="21"/>
  <c r="Q107" i="21"/>
  <c r="S71" i="21"/>
  <c r="Q71" i="21"/>
  <c r="AH71" i="21"/>
  <c r="Q40" i="21"/>
  <c r="AJ40" i="21"/>
  <c r="AK40" i="21" s="1"/>
  <c r="AF50" i="21"/>
  <c r="Y85" i="21"/>
  <c r="Z85" i="21" s="1"/>
  <c r="AF75" i="21"/>
  <c r="AF69" i="21"/>
  <c r="AA64" i="21"/>
  <c r="AB64" i="21" s="1"/>
  <c r="AF60" i="21"/>
  <c r="Q41" i="21"/>
  <c r="AA41" i="21"/>
  <c r="AB41" i="21" s="1"/>
  <c r="S25" i="21"/>
  <c r="AM25" i="21"/>
  <c r="AQ25" i="21"/>
  <c r="Q25" i="21"/>
  <c r="AA25" i="21"/>
  <c r="AB25" i="21" s="1"/>
  <c r="S18" i="21"/>
  <c r="AM18" i="21"/>
  <c r="AQ18" i="21"/>
  <c r="Q18" i="21"/>
  <c r="AA18" i="21"/>
  <c r="AB18" i="21" s="1"/>
  <c r="AF51" i="21"/>
  <c r="AF92" i="21"/>
  <c r="AF100" i="21"/>
  <c r="AF108" i="21"/>
  <c r="AF73" i="21"/>
  <c r="AA79" i="21"/>
  <c r="AB79" i="21" s="1"/>
  <c r="AF88" i="21"/>
  <c r="AF49" i="21"/>
  <c r="AF77" i="21"/>
  <c r="AF65" i="21"/>
  <c r="AA61" i="21"/>
  <c r="AB61" i="21" s="1"/>
  <c r="AF38" i="21"/>
  <c r="S20" i="21"/>
  <c r="AM20" i="21"/>
  <c r="AQ20" i="21"/>
  <c r="Q20" i="21"/>
  <c r="AA20" i="21"/>
  <c r="AB20" i="21" s="1"/>
  <c r="AA46" i="21"/>
  <c r="AB46" i="21" s="1"/>
  <c r="AF95" i="21"/>
  <c r="AF103" i="21"/>
  <c r="AF71" i="21"/>
  <c r="AA78" i="21"/>
  <c r="AB78" i="21" s="1"/>
  <c r="AA35" i="21"/>
  <c r="AB35" i="21" s="1"/>
  <c r="AA39" i="21"/>
  <c r="AB39" i="21" s="1"/>
  <c r="Q46" i="21"/>
  <c r="AF41" i="21"/>
  <c r="Q49" i="21"/>
  <c r="AA42" i="21"/>
  <c r="AB42" i="21" s="1"/>
  <c r="AF203" i="20"/>
  <c r="AG203" i="20" s="1"/>
  <c r="AA161" i="20"/>
  <c r="AB161" i="20" s="1"/>
  <c r="AF134" i="20"/>
  <c r="AG134" i="20" s="1"/>
  <c r="AF208" i="20"/>
  <c r="AG208" i="20" s="1"/>
  <c r="AF150" i="20"/>
  <c r="AG150" i="20" s="1"/>
  <c r="AF117" i="20"/>
  <c r="AG117" i="20" s="1"/>
  <c r="AG183" i="20"/>
  <c r="AV183" i="20"/>
  <c r="BL183" i="20" s="1"/>
  <c r="R143" i="20"/>
  <c r="T143" i="20" s="1"/>
  <c r="AS143" i="20"/>
  <c r="R139" i="20"/>
  <c r="AS139" i="20"/>
  <c r="P61" i="20"/>
  <c r="AM61" i="20" s="1"/>
  <c r="AO83" i="20"/>
  <c r="AP83" i="20" s="1"/>
  <c r="AQ83" i="20"/>
  <c r="AO163" i="20"/>
  <c r="AP163" i="20" s="1"/>
  <c r="S163" i="20"/>
  <c r="U163" i="20"/>
  <c r="V163" i="20" s="1"/>
  <c r="W163" i="20" s="1"/>
  <c r="AD163" i="20"/>
  <c r="AF163" i="20"/>
  <c r="AA163" i="20"/>
  <c r="AB163" i="20" s="1"/>
  <c r="AH163" i="20"/>
  <c r="Q163" i="20"/>
  <c r="AF168" i="20"/>
  <c r="S202" i="20"/>
  <c r="U202" i="20"/>
  <c r="V202" i="20" s="1"/>
  <c r="W202" i="20" s="1"/>
  <c r="AD202" i="20"/>
  <c r="AH202" i="20"/>
  <c r="Q202" i="20"/>
  <c r="AO202" i="20"/>
  <c r="AP202" i="20" s="1"/>
  <c r="AF202" i="20"/>
  <c r="R118" i="20"/>
  <c r="T118" i="20" s="1"/>
  <c r="AS118" i="20"/>
  <c r="AH174" i="20"/>
  <c r="S174" i="20"/>
  <c r="AD174" i="20"/>
  <c r="U174" i="20"/>
  <c r="V174" i="20" s="1"/>
  <c r="W174" i="20" s="1"/>
  <c r="AA174" i="20"/>
  <c r="AB174" i="20" s="1"/>
  <c r="Q174" i="20"/>
  <c r="AO174" i="20"/>
  <c r="AP174" i="20" s="1"/>
  <c r="AF174" i="20"/>
  <c r="S141" i="20"/>
  <c r="AD141" i="20"/>
  <c r="U141" i="20"/>
  <c r="V141" i="20" s="1"/>
  <c r="W141" i="20" s="1"/>
  <c r="Q141" i="20"/>
  <c r="AA141" i="20"/>
  <c r="AB141" i="20" s="1"/>
  <c r="AH141" i="20"/>
  <c r="AF141" i="20"/>
  <c r="AO141" i="20"/>
  <c r="AP141" i="20" s="1"/>
  <c r="S157" i="20"/>
  <c r="U157" i="20"/>
  <c r="V157" i="20" s="1"/>
  <c r="W157" i="20" s="1"/>
  <c r="AD157" i="20"/>
  <c r="AA157" i="20"/>
  <c r="AB157" i="20" s="1"/>
  <c r="AO157" i="20"/>
  <c r="AP157" i="20" s="1"/>
  <c r="AH157" i="20"/>
  <c r="Q157" i="20"/>
  <c r="AF157" i="20"/>
  <c r="S140" i="20"/>
  <c r="AD140" i="20"/>
  <c r="U140" i="20"/>
  <c r="V140" i="20" s="1"/>
  <c r="W140" i="20" s="1"/>
  <c r="AH140" i="20"/>
  <c r="AF140" i="20"/>
  <c r="AA140" i="20"/>
  <c r="AB140" i="20" s="1"/>
  <c r="AO140" i="20"/>
  <c r="AP140" i="20" s="1"/>
  <c r="Q140" i="20"/>
  <c r="AG155" i="20"/>
  <c r="AI155" i="20" s="1"/>
  <c r="BF155" i="20" s="1"/>
  <c r="AV155" i="20"/>
  <c r="BL155" i="20" s="1"/>
  <c r="Q165" i="20"/>
  <c r="S165" i="20"/>
  <c r="AD165" i="20"/>
  <c r="U165" i="20"/>
  <c r="V165" i="20" s="1"/>
  <c r="W165" i="20" s="1"/>
  <c r="AO165" i="20"/>
  <c r="AP165" i="20" s="1"/>
  <c r="AA165" i="20"/>
  <c r="AB165" i="20" s="1"/>
  <c r="AH165" i="20"/>
  <c r="S113" i="20"/>
  <c r="U113" i="20"/>
  <c r="V113" i="20" s="1"/>
  <c r="W113" i="20" s="1"/>
  <c r="AD113" i="20"/>
  <c r="AO113" i="20"/>
  <c r="AP113" i="20" s="1"/>
  <c r="AF113" i="20"/>
  <c r="AH113" i="20"/>
  <c r="Q113" i="20"/>
  <c r="AA113" i="20"/>
  <c r="AB113" i="20" s="1"/>
  <c r="S187" i="20"/>
  <c r="U187" i="20"/>
  <c r="V187" i="20" s="1"/>
  <c r="W187" i="20" s="1"/>
  <c r="AD187" i="20"/>
  <c r="AF187" i="20"/>
  <c r="AH187" i="20"/>
  <c r="Q187" i="20"/>
  <c r="AA187" i="20"/>
  <c r="AB187" i="20" s="1"/>
  <c r="AO187" i="20"/>
  <c r="AP187" i="20" s="1"/>
  <c r="Q176" i="20"/>
  <c r="S176" i="20"/>
  <c r="AD176" i="20"/>
  <c r="U176" i="20"/>
  <c r="V176" i="20" s="1"/>
  <c r="W176" i="20" s="1"/>
  <c r="AH176" i="20"/>
  <c r="AA176" i="20"/>
  <c r="AB176" i="20" s="1"/>
  <c r="AO176" i="20"/>
  <c r="AP176" i="20" s="1"/>
  <c r="AH184" i="20"/>
  <c r="S184" i="20"/>
  <c r="U184" i="20"/>
  <c r="V184" i="20" s="1"/>
  <c r="W184" i="20" s="1"/>
  <c r="AD184" i="20"/>
  <c r="AO184" i="20"/>
  <c r="AP184" i="20" s="1"/>
  <c r="Q184" i="20"/>
  <c r="AF184" i="20"/>
  <c r="AA184" i="20"/>
  <c r="AB184" i="20" s="1"/>
  <c r="S110" i="20"/>
  <c r="U110" i="20"/>
  <c r="V110" i="20" s="1"/>
  <c r="W110" i="20" s="1"/>
  <c r="AD110" i="20"/>
  <c r="AF110" i="20"/>
  <c r="Q110" i="20"/>
  <c r="AO110" i="20"/>
  <c r="AP110" i="20" s="1"/>
  <c r="AA110" i="20"/>
  <c r="AB110" i="20" s="1"/>
  <c r="AH110" i="20"/>
  <c r="S126" i="20"/>
  <c r="U126" i="20"/>
  <c r="V126" i="20" s="1"/>
  <c r="W126" i="20" s="1"/>
  <c r="AD126" i="20"/>
  <c r="AH126" i="20"/>
  <c r="AO126" i="20"/>
  <c r="AP126" i="20" s="1"/>
  <c r="AA126" i="20"/>
  <c r="AB126" i="20" s="1"/>
  <c r="Q126" i="20"/>
  <c r="AF126" i="20"/>
  <c r="S125" i="20"/>
  <c r="AD125" i="20"/>
  <c r="U125" i="20"/>
  <c r="V125" i="20" s="1"/>
  <c r="W125" i="20" s="1"/>
  <c r="AA125" i="20"/>
  <c r="AB125" i="20" s="1"/>
  <c r="AO125" i="20"/>
  <c r="AP125" i="20" s="1"/>
  <c r="AF125" i="20"/>
  <c r="AH125" i="20"/>
  <c r="Q125" i="20"/>
  <c r="S133" i="20"/>
  <c r="U133" i="20"/>
  <c r="V133" i="20" s="1"/>
  <c r="W133" i="20" s="1"/>
  <c r="AD133" i="20"/>
  <c r="AF133" i="20"/>
  <c r="AO133" i="20"/>
  <c r="AP133" i="20" s="1"/>
  <c r="AH133" i="20"/>
  <c r="AA133" i="20"/>
  <c r="AB133" i="20" s="1"/>
  <c r="Q133" i="20"/>
  <c r="S149" i="20"/>
  <c r="U149" i="20"/>
  <c r="V149" i="20" s="1"/>
  <c r="W149" i="20" s="1"/>
  <c r="AD149" i="20"/>
  <c r="AA149" i="20"/>
  <c r="AB149" i="20" s="1"/>
  <c r="AO149" i="20"/>
  <c r="AP149" i="20" s="1"/>
  <c r="AH149" i="20"/>
  <c r="AF149" i="20"/>
  <c r="Q149" i="20"/>
  <c r="S119" i="20"/>
  <c r="U119" i="20"/>
  <c r="V119" i="20" s="1"/>
  <c r="W119" i="20" s="1"/>
  <c r="AD119" i="20"/>
  <c r="AO119" i="20"/>
  <c r="AP119" i="20" s="1"/>
  <c r="Q119" i="20"/>
  <c r="AH119" i="20"/>
  <c r="S209" i="20"/>
  <c r="U209" i="20"/>
  <c r="V209" i="20" s="1"/>
  <c r="W209" i="20" s="1"/>
  <c r="AD209" i="20"/>
  <c r="AH209" i="20"/>
  <c r="AO209" i="20"/>
  <c r="AP209" i="20" s="1"/>
  <c r="AF209" i="20"/>
  <c r="Q209" i="20"/>
  <c r="R173" i="20"/>
  <c r="AS173" i="20"/>
  <c r="S200" i="20"/>
  <c r="U200" i="20"/>
  <c r="V200" i="20" s="1"/>
  <c r="W200" i="20" s="1"/>
  <c r="AD200" i="20"/>
  <c r="AH200" i="20"/>
  <c r="AO200" i="20"/>
  <c r="AP200" i="20" s="1"/>
  <c r="Q200" i="20"/>
  <c r="S177" i="20"/>
  <c r="U177" i="20"/>
  <c r="V177" i="20" s="1"/>
  <c r="W177" i="20" s="1"/>
  <c r="AD177" i="20"/>
  <c r="AH177" i="20"/>
  <c r="AO177" i="20"/>
  <c r="AP177" i="20" s="1"/>
  <c r="AF177" i="20"/>
  <c r="Q177" i="20"/>
  <c r="S186" i="20"/>
  <c r="AD186" i="20"/>
  <c r="U186" i="20"/>
  <c r="V186" i="20" s="1"/>
  <c r="W186" i="20" s="1"/>
  <c r="Q186" i="20"/>
  <c r="AH186" i="20"/>
  <c r="AO186" i="20"/>
  <c r="AP186" i="20" s="1"/>
  <c r="AF186" i="20"/>
  <c r="S194" i="20"/>
  <c r="AD194" i="20"/>
  <c r="U194" i="20"/>
  <c r="V194" i="20" s="1"/>
  <c r="W194" i="20" s="1"/>
  <c r="Q194" i="20"/>
  <c r="AO194" i="20"/>
  <c r="AP194" i="20" s="1"/>
  <c r="AH194" i="20"/>
  <c r="AA194" i="20"/>
  <c r="AB194" i="20" s="1"/>
  <c r="S132" i="20"/>
  <c r="AD132" i="20"/>
  <c r="U132" i="20"/>
  <c r="V132" i="20" s="1"/>
  <c r="W132" i="20" s="1"/>
  <c r="Q132" i="20"/>
  <c r="AO132" i="20"/>
  <c r="AP132" i="20" s="1"/>
  <c r="AF132" i="20"/>
  <c r="AH132" i="20"/>
  <c r="X165" i="20"/>
  <c r="Y165" i="20" s="1"/>
  <c r="Z165" i="20" s="1"/>
  <c r="S198" i="20"/>
  <c r="AD198" i="20"/>
  <c r="U198" i="20"/>
  <c r="V198" i="20" s="1"/>
  <c r="W198" i="20" s="1"/>
  <c r="AO198" i="20"/>
  <c r="AP198" i="20" s="1"/>
  <c r="AH198" i="20"/>
  <c r="Q198" i="20"/>
  <c r="S122" i="20"/>
  <c r="U122" i="20"/>
  <c r="V122" i="20" s="1"/>
  <c r="W122" i="20" s="1"/>
  <c r="AD122" i="20"/>
  <c r="AO122" i="20"/>
  <c r="AP122" i="20" s="1"/>
  <c r="AF122" i="20"/>
  <c r="AH122" i="20"/>
  <c r="Q122" i="20"/>
  <c r="S130" i="20"/>
  <c r="AD130" i="20"/>
  <c r="U130" i="20"/>
  <c r="V130" i="20" s="1"/>
  <c r="W130" i="20" s="1"/>
  <c r="Q130" i="20"/>
  <c r="AH130" i="20"/>
  <c r="AO130" i="20"/>
  <c r="AP130" i="20" s="1"/>
  <c r="AA130" i="20"/>
  <c r="AB130" i="20" s="1"/>
  <c r="S146" i="20"/>
  <c r="AD146" i="20"/>
  <c r="U146" i="20"/>
  <c r="V146" i="20" s="1"/>
  <c r="W146" i="20" s="1"/>
  <c r="Q146" i="20"/>
  <c r="AO146" i="20"/>
  <c r="AP146" i="20" s="1"/>
  <c r="AH146" i="20"/>
  <c r="S162" i="20"/>
  <c r="AD162" i="20"/>
  <c r="U162" i="20"/>
  <c r="V162" i="20" s="1"/>
  <c r="W162" i="20" s="1"/>
  <c r="AO162" i="20"/>
  <c r="AP162" i="20" s="1"/>
  <c r="Q162" i="20"/>
  <c r="AH162" i="20"/>
  <c r="S178" i="20"/>
  <c r="AD178" i="20"/>
  <c r="U178" i="20"/>
  <c r="V178" i="20" s="1"/>
  <c r="W178" i="20" s="1"/>
  <c r="Q178" i="20"/>
  <c r="AA178" i="20"/>
  <c r="AB178" i="20" s="1"/>
  <c r="AH178" i="20"/>
  <c r="AO178" i="20"/>
  <c r="AP178" i="20" s="1"/>
  <c r="S137" i="20"/>
  <c r="U137" i="20"/>
  <c r="V137" i="20" s="1"/>
  <c r="W137" i="20" s="1"/>
  <c r="AD137" i="20"/>
  <c r="Q137" i="20"/>
  <c r="AH137" i="20"/>
  <c r="AF137" i="20"/>
  <c r="AO137" i="20"/>
  <c r="AP137" i="20" s="1"/>
  <c r="S120" i="20"/>
  <c r="U120" i="20"/>
  <c r="V120" i="20" s="1"/>
  <c r="W120" i="20" s="1"/>
  <c r="AD120" i="20"/>
  <c r="AH120" i="20"/>
  <c r="AO120" i="20"/>
  <c r="AP120" i="20" s="1"/>
  <c r="AA120" i="20"/>
  <c r="AB120" i="20" s="1"/>
  <c r="Q120" i="20"/>
  <c r="S136" i="20"/>
  <c r="AD136" i="20"/>
  <c r="U136" i="20"/>
  <c r="V136" i="20" s="1"/>
  <c r="W136" i="20" s="1"/>
  <c r="AO136" i="20"/>
  <c r="AP136" i="20" s="1"/>
  <c r="Q136" i="20"/>
  <c r="AH136" i="20"/>
  <c r="AA136" i="20"/>
  <c r="AB136" i="20" s="1"/>
  <c r="X176" i="20"/>
  <c r="Y176" i="20" s="1"/>
  <c r="Z176" i="20" s="1"/>
  <c r="S127" i="20"/>
  <c r="U127" i="20"/>
  <c r="V127" i="20" s="1"/>
  <c r="W127" i="20" s="1"/>
  <c r="AD127" i="20"/>
  <c r="AO127" i="20"/>
  <c r="AP127" i="20" s="1"/>
  <c r="AH127" i="20"/>
  <c r="AF127" i="20"/>
  <c r="AA127" i="20"/>
  <c r="AB127" i="20" s="1"/>
  <c r="Q127" i="20"/>
  <c r="S201" i="20"/>
  <c r="AD201" i="20"/>
  <c r="U201" i="20"/>
  <c r="V201" i="20" s="1"/>
  <c r="W201" i="20" s="1"/>
  <c r="AH201" i="20"/>
  <c r="AO201" i="20"/>
  <c r="AP201" i="20" s="1"/>
  <c r="Q201" i="20"/>
  <c r="AA201" i="20"/>
  <c r="AB201" i="20" s="1"/>
  <c r="AH148" i="20"/>
  <c r="S148" i="20"/>
  <c r="U148" i="20"/>
  <c r="V148" i="20" s="1"/>
  <c r="W148" i="20" s="1"/>
  <c r="AD148" i="20"/>
  <c r="AO148" i="20"/>
  <c r="AP148" i="20" s="1"/>
  <c r="AF148" i="20"/>
  <c r="AA148" i="20"/>
  <c r="AB148" i="20" s="1"/>
  <c r="Q148" i="20"/>
  <c r="S123" i="20"/>
  <c r="AD123" i="20"/>
  <c r="U123" i="20"/>
  <c r="V123" i="20" s="1"/>
  <c r="W123" i="20" s="1"/>
  <c r="AF123" i="20"/>
  <c r="Q123" i="20"/>
  <c r="AO123" i="20"/>
  <c r="AP123" i="20" s="1"/>
  <c r="AA123" i="20"/>
  <c r="AB123" i="20" s="1"/>
  <c r="AH123" i="20"/>
  <c r="S131" i="20"/>
  <c r="AD131" i="20"/>
  <c r="U131" i="20"/>
  <c r="V131" i="20" s="1"/>
  <c r="W131" i="20" s="1"/>
  <c r="AH131" i="20"/>
  <c r="AO131" i="20"/>
  <c r="AP131" i="20" s="1"/>
  <c r="Q131" i="20"/>
  <c r="AF131" i="20"/>
  <c r="AA131" i="20"/>
  <c r="AB131" i="20" s="1"/>
  <c r="S147" i="20"/>
  <c r="AD147" i="20"/>
  <c r="U147" i="20"/>
  <c r="V147" i="20" s="1"/>
  <c r="W147" i="20" s="1"/>
  <c r="AO147" i="20"/>
  <c r="AP147" i="20" s="1"/>
  <c r="AF147" i="20"/>
  <c r="Q147" i="20"/>
  <c r="AH147" i="20"/>
  <c r="AA147" i="20"/>
  <c r="AB147" i="20" s="1"/>
  <c r="S197" i="20"/>
  <c r="U197" i="20"/>
  <c r="V197" i="20" s="1"/>
  <c r="W197" i="20" s="1"/>
  <c r="AD197" i="20"/>
  <c r="AA197" i="20"/>
  <c r="AB197" i="20" s="1"/>
  <c r="AF197" i="20"/>
  <c r="AH197" i="20"/>
  <c r="AO197" i="20"/>
  <c r="AP197" i="20" s="1"/>
  <c r="Q197" i="20"/>
  <c r="S205" i="20"/>
  <c r="AD205" i="20"/>
  <c r="U205" i="20"/>
  <c r="V205" i="20" s="1"/>
  <c r="W205" i="20" s="1"/>
  <c r="AH205" i="20"/>
  <c r="Q205" i="20"/>
  <c r="AA205" i="20"/>
  <c r="AB205" i="20" s="1"/>
  <c r="AF205" i="20"/>
  <c r="AO205" i="20"/>
  <c r="AP205" i="20" s="1"/>
  <c r="S207" i="20"/>
  <c r="AD207" i="20"/>
  <c r="U207" i="20"/>
  <c r="V207" i="20" s="1"/>
  <c r="W207" i="20" s="1"/>
  <c r="AA207" i="20"/>
  <c r="AB207" i="20" s="1"/>
  <c r="AF207" i="20"/>
  <c r="Q207" i="20"/>
  <c r="AH207" i="20"/>
  <c r="AO207" i="20"/>
  <c r="AP207" i="20" s="1"/>
  <c r="S203" i="20"/>
  <c r="U203" i="20"/>
  <c r="V203" i="20" s="1"/>
  <c r="W203" i="20" s="1"/>
  <c r="AD203" i="20"/>
  <c r="Q203" i="20"/>
  <c r="AH203" i="20"/>
  <c r="AO203" i="20"/>
  <c r="AP203" i="20" s="1"/>
  <c r="AA134" i="20"/>
  <c r="AB134" i="20" s="1"/>
  <c r="R171" i="20"/>
  <c r="T171" i="20" s="1"/>
  <c r="AS171" i="20"/>
  <c r="AJ83" i="20"/>
  <c r="AK83" i="20" s="1"/>
  <c r="AJ85" i="20"/>
  <c r="AK85" i="20" s="1"/>
  <c r="S128" i="20"/>
  <c r="AD128" i="20"/>
  <c r="U128" i="20"/>
  <c r="V128" i="20" s="1"/>
  <c r="W128" i="20" s="1"/>
  <c r="AO128" i="20"/>
  <c r="AP128" i="20" s="1"/>
  <c r="Q128" i="20"/>
  <c r="AA128" i="20"/>
  <c r="AB128" i="20" s="1"/>
  <c r="AH128" i="20"/>
  <c r="AF128" i="20"/>
  <c r="S144" i="20"/>
  <c r="AD144" i="20"/>
  <c r="U144" i="20"/>
  <c r="V144" i="20" s="1"/>
  <c r="W144" i="20" s="1"/>
  <c r="AH144" i="20"/>
  <c r="AF144" i="20"/>
  <c r="AA144" i="20"/>
  <c r="AB144" i="20" s="1"/>
  <c r="AO144" i="20"/>
  <c r="AP144" i="20" s="1"/>
  <c r="Q144" i="20"/>
  <c r="Q168" i="20"/>
  <c r="S168" i="20"/>
  <c r="U168" i="20"/>
  <c r="V168" i="20" s="1"/>
  <c r="W168" i="20" s="1"/>
  <c r="AD168" i="20"/>
  <c r="AH168" i="20"/>
  <c r="AO168" i="20"/>
  <c r="AP168" i="20" s="1"/>
  <c r="AA168" i="20"/>
  <c r="AB168" i="20" s="1"/>
  <c r="S192" i="20"/>
  <c r="AD192" i="20"/>
  <c r="U192" i="20"/>
  <c r="V192" i="20" s="1"/>
  <c r="W192" i="20" s="1"/>
  <c r="AA192" i="20"/>
  <c r="AB192" i="20" s="1"/>
  <c r="AH192" i="20"/>
  <c r="AO192" i="20"/>
  <c r="AP192" i="20" s="1"/>
  <c r="AF192" i="20"/>
  <c r="Q192" i="20"/>
  <c r="S195" i="20"/>
  <c r="U195" i="20"/>
  <c r="V195" i="20" s="1"/>
  <c r="W195" i="20" s="1"/>
  <c r="AD195" i="20"/>
  <c r="AA195" i="20"/>
  <c r="AB195" i="20" s="1"/>
  <c r="AH195" i="20"/>
  <c r="AF195" i="20"/>
  <c r="Q195" i="20"/>
  <c r="AO195" i="20"/>
  <c r="AP195" i="20" s="1"/>
  <c r="S169" i="20"/>
  <c r="U169" i="20"/>
  <c r="V169" i="20" s="1"/>
  <c r="W169" i="20" s="1"/>
  <c r="AD169" i="20"/>
  <c r="AF169" i="20"/>
  <c r="Q169" i="20"/>
  <c r="AA169" i="20"/>
  <c r="AB169" i="20" s="1"/>
  <c r="AO169" i="20"/>
  <c r="AP169" i="20" s="1"/>
  <c r="AH169" i="20"/>
  <c r="S190" i="20"/>
  <c r="AD190" i="20"/>
  <c r="U190" i="20"/>
  <c r="V190" i="20" s="1"/>
  <c r="W190" i="20" s="1"/>
  <c r="AH190" i="20"/>
  <c r="Q190" i="20"/>
  <c r="AA190" i="20"/>
  <c r="AB190" i="20" s="1"/>
  <c r="AF190" i="20"/>
  <c r="AO190" i="20"/>
  <c r="AP190" i="20" s="1"/>
  <c r="S153" i="20"/>
  <c r="U153" i="20"/>
  <c r="V153" i="20" s="1"/>
  <c r="W153" i="20" s="1"/>
  <c r="AD153" i="20"/>
  <c r="AO153" i="20"/>
  <c r="AP153" i="20" s="1"/>
  <c r="AH153" i="20"/>
  <c r="Q153" i="20"/>
  <c r="AF153" i="20"/>
  <c r="AA153" i="20"/>
  <c r="AB153" i="20" s="1"/>
  <c r="Q160" i="20"/>
  <c r="S160" i="20"/>
  <c r="AD160" i="20"/>
  <c r="U160" i="20"/>
  <c r="V160" i="20" s="1"/>
  <c r="W160" i="20" s="1"/>
  <c r="AH160" i="20"/>
  <c r="AO160" i="20"/>
  <c r="AP160" i="20" s="1"/>
  <c r="AF160" i="20"/>
  <c r="S111" i="20"/>
  <c r="AD111" i="20"/>
  <c r="U111" i="20"/>
  <c r="V111" i="20" s="1"/>
  <c r="W111" i="20" s="1"/>
  <c r="AF111" i="20"/>
  <c r="AH111" i="20"/>
  <c r="AO111" i="20"/>
  <c r="AP111" i="20" s="1"/>
  <c r="AA111" i="20"/>
  <c r="AB111" i="20" s="1"/>
  <c r="Q111" i="20"/>
  <c r="S135" i="20"/>
  <c r="U135" i="20"/>
  <c r="V135" i="20" s="1"/>
  <c r="W135" i="20" s="1"/>
  <c r="AD135" i="20"/>
  <c r="Q135" i="20"/>
  <c r="AO135" i="20"/>
  <c r="AP135" i="20" s="1"/>
  <c r="AF135" i="20"/>
  <c r="AH135" i="20"/>
  <c r="AA135" i="20"/>
  <c r="AB135" i="20" s="1"/>
  <c r="S175" i="20"/>
  <c r="AD175" i="20"/>
  <c r="U175" i="20"/>
  <c r="V175" i="20" s="1"/>
  <c r="W175" i="20" s="1"/>
  <c r="Q175" i="20"/>
  <c r="AH175" i="20"/>
  <c r="AO175" i="20"/>
  <c r="AP175" i="20" s="1"/>
  <c r="AF175" i="20"/>
  <c r="S114" i="20"/>
  <c r="AD114" i="20"/>
  <c r="U114" i="20"/>
  <c r="V114" i="20" s="1"/>
  <c r="W114" i="20" s="1"/>
  <c r="Q114" i="20"/>
  <c r="AF114" i="20"/>
  <c r="AH114" i="20"/>
  <c r="AA114" i="20"/>
  <c r="AB114" i="20" s="1"/>
  <c r="AO114" i="20"/>
  <c r="AP114" i="20" s="1"/>
  <c r="S138" i="20"/>
  <c r="AD138" i="20"/>
  <c r="U138" i="20"/>
  <c r="V138" i="20" s="1"/>
  <c r="W138" i="20" s="1"/>
  <c r="AF138" i="20"/>
  <c r="AH138" i="20"/>
  <c r="Q138" i="20"/>
  <c r="AA138" i="20"/>
  <c r="AB138" i="20" s="1"/>
  <c r="AO138" i="20"/>
  <c r="AP138" i="20" s="1"/>
  <c r="S154" i="20"/>
  <c r="AD154" i="20"/>
  <c r="U154" i="20"/>
  <c r="V154" i="20" s="1"/>
  <c r="W154" i="20" s="1"/>
  <c r="AO154" i="20"/>
  <c r="AP154" i="20" s="1"/>
  <c r="AA154" i="20"/>
  <c r="AB154" i="20" s="1"/>
  <c r="AF154" i="20"/>
  <c r="Q154" i="20"/>
  <c r="AH154" i="20"/>
  <c r="S170" i="20"/>
  <c r="AD170" i="20"/>
  <c r="U170" i="20"/>
  <c r="V170" i="20" s="1"/>
  <c r="W170" i="20" s="1"/>
  <c r="AO170" i="20"/>
  <c r="AP170" i="20" s="1"/>
  <c r="AA170" i="20"/>
  <c r="AB170" i="20" s="1"/>
  <c r="AF170" i="20"/>
  <c r="Q170" i="20"/>
  <c r="AH170" i="20"/>
  <c r="S121" i="20"/>
  <c r="U121" i="20"/>
  <c r="V121" i="20" s="1"/>
  <c r="W121" i="20" s="1"/>
  <c r="AD121" i="20"/>
  <c r="AO121" i="20"/>
  <c r="AP121" i="20" s="1"/>
  <c r="AH121" i="20"/>
  <c r="AF121" i="20"/>
  <c r="AA121" i="20"/>
  <c r="AB121" i="20" s="1"/>
  <c r="Q121" i="20"/>
  <c r="S129" i="20"/>
  <c r="U129" i="20"/>
  <c r="V129" i="20" s="1"/>
  <c r="W129" i="20" s="1"/>
  <c r="AD129" i="20"/>
  <c r="AF129" i="20"/>
  <c r="Q129" i="20"/>
  <c r="AH129" i="20"/>
  <c r="AO129" i="20"/>
  <c r="AP129" i="20" s="1"/>
  <c r="AA129" i="20"/>
  <c r="AB129" i="20" s="1"/>
  <c r="S145" i="20"/>
  <c r="U145" i="20"/>
  <c r="V145" i="20" s="1"/>
  <c r="W145" i="20" s="1"/>
  <c r="AD145" i="20"/>
  <c r="AH145" i="20"/>
  <c r="AO145" i="20"/>
  <c r="AP145" i="20" s="1"/>
  <c r="Q145" i="20"/>
  <c r="AA145" i="20"/>
  <c r="AB145" i="20" s="1"/>
  <c r="AF145" i="20"/>
  <c r="S112" i="20"/>
  <c r="AD112" i="20"/>
  <c r="U112" i="20"/>
  <c r="V112" i="20" s="1"/>
  <c r="W112" i="20" s="1"/>
  <c r="AO112" i="20"/>
  <c r="AP112" i="20" s="1"/>
  <c r="AF112" i="20"/>
  <c r="AH112" i="20"/>
  <c r="Q112" i="20"/>
  <c r="X202" i="20"/>
  <c r="Y202" i="20" s="1"/>
  <c r="Z202" i="20" s="1"/>
  <c r="AG118" i="20"/>
  <c r="AV118" i="20"/>
  <c r="BL118" i="20" s="1"/>
  <c r="S142" i="20"/>
  <c r="U142" i="20"/>
  <c r="V142" i="20" s="1"/>
  <c r="W142" i="20" s="1"/>
  <c r="AD142" i="20"/>
  <c r="AH142" i="20"/>
  <c r="AO142" i="20"/>
  <c r="AP142" i="20" s="1"/>
  <c r="AA142" i="20"/>
  <c r="AB142" i="20" s="1"/>
  <c r="Q142" i="20"/>
  <c r="AH158" i="20"/>
  <c r="S158" i="20"/>
  <c r="AD158" i="20"/>
  <c r="U158" i="20"/>
  <c r="V158" i="20" s="1"/>
  <c r="W158" i="20" s="1"/>
  <c r="AO158" i="20"/>
  <c r="AP158" i="20" s="1"/>
  <c r="Q158" i="20"/>
  <c r="AA158" i="20"/>
  <c r="AB158" i="20" s="1"/>
  <c r="S189" i="20"/>
  <c r="AD189" i="20"/>
  <c r="U189" i="20"/>
  <c r="V189" i="20" s="1"/>
  <c r="W189" i="20" s="1"/>
  <c r="AH189" i="20"/>
  <c r="Q189" i="20"/>
  <c r="AO189" i="20"/>
  <c r="AP189" i="20" s="1"/>
  <c r="AF189" i="20"/>
  <c r="X160" i="20"/>
  <c r="Y160" i="20" s="1"/>
  <c r="Z160" i="20" s="1"/>
  <c r="X175" i="20"/>
  <c r="Y175" i="20" s="1"/>
  <c r="Z175" i="20" s="1"/>
  <c r="S185" i="20"/>
  <c r="U185" i="20"/>
  <c r="V185" i="20" s="1"/>
  <c r="W185" i="20" s="1"/>
  <c r="AD185" i="20"/>
  <c r="AH185" i="20"/>
  <c r="AO185" i="20"/>
  <c r="AP185" i="20" s="1"/>
  <c r="Q185" i="20"/>
  <c r="AG193" i="20"/>
  <c r="AI193" i="20" s="1"/>
  <c r="BF193" i="20" s="1"/>
  <c r="AV193" i="20"/>
  <c r="BL193" i="20" s="1"/>
  <c r="S124" i="20"/>
  <c r="U124" i="20"/>
  <c r="V124" i="20" s="1"/>
  <c r="W124" i="20" s="1"/>
  <c r="AD124" i="20"/>
  <c r="Q124" i="20"/>
  <c r="AA124" i="20"/>
  <c r="AB124" i="20" s="1"/>
  <c r="AO124" i="20"/>
  <c r="AP124" i="20" s="1"/>
  <c r="AH124" i="20"/>
  <c r="AF124" i="20"/>
  <c r="AH164" i="20"/>
  <c r="S164" i="20"/>
  <c r="U164" i="20"/>
  <c r="V164" i="20" s="1"/>
  <c r="W164" i="20" s="1"/>
  <c r="AD164" i="20"/>
  <c r="AO164" i="20"/>
  <c r="AP164" i="20" s="1"/>
  <c r="Q164" i="20"/>
  <c r="AF164" i="20"/>
  <c r="AA164" i="20"/>
  <c r="AB164" i="20" s="1"/>
  <c r="S180" i="20"/>
  <c r="AD180" i="20"/>
  <c r="U180" i="20"/>
  <c r="V180" i="20" s="1"/>
  <c r="W180" i="20" s="1"/>
  <c r="AF180" i="20"/>
  <c r="AH180" i="20"/>
  <c r="AO180" i="20"/>
  <c r="AP180" i="20" s="1"/>
  <c r="AA180" i="20"/>
  <c r="AB180" i="20" s="1"/>
  <c r="Q180" i="20"/>
  <c r="AH182" i="20"/>
  <c r="S182" i="20"/>
  <c r="AD182" i="20"/>
  <c r="U182" i="20"/>
  <c r="V182" i="20" s="1"/>
  <c r="W182" i="20" s="1"/>
  <c r="AO182" i="20"/>
  <c r="AP182" i="20" s="1"/>
  <c r="AF182" i="20"/>
  <c r="AA182" i="20"/>
  <c r="AB182" i="20" s="1"/>
  <c r="Q182" i="20"/>
  <c r="X184" i="20"/>
  <c r="Y184" i="20" s="1"/>
  <c r="Z184" i="20" s="1"/>
  <c r="S208" i="20"/>
  <c r="AD208" i="20"/>
  <c r="U208" i="20"/>
  <c r="V208" i="20" s="1"/>
  <c r="W208" i="20" s="1"/>
  <c r="Q208" i="20"/>
  <c r="AH208" i="20"/>
  <c r="AO208" i="20"/>
  <c r="AP208" i="20" s="1"/>
  <c r="S161" i="20"/>
  <c r="AD161" i="20"/>
  <c r="U161" i="20"/>
  <c r="V161" i="20" s="1"/>
  <c r="W161" i="20" s="1"/>
  <c r="AO161" i="20"/>
  <c r="AP161" i="20" s="1"/>
  <c r="AH161" i="20"/>
  <c r="Q161" i="20"/>
  <c r="S134" i="20"/>
  <c r="U134" i="20"/>
  <c r="V134" i="20" s="1"/>
  <c r="W134" i="20" s="1"/>
  <c r="AD134" i="20"/>
  <c r="Q134" i="20"/>
  <c r="AH134" i="20"/>
  <c r="AO134" i="20"/>
  <c r="AP134" i="20" s="1"/>
  <c r="S150" i="20"/>
  <c r="AD150" i="20"/>
  <c r="U150" i="20"/>
  <c r="V150" i="20" s="1"/>
  <c r="W150" i="20" s="1"/>
  <c r="AH150" i="20"/>
  <c r="AO150" i="20"/>
  <c r="AP150" i="20" s="1"/>
  <c r="Q150" i="20"/>
  <c r="AH166" i="20"/>
  <c r="S166" i="20"/>
  <c r="AD166" i="20"/>
  <c r="U166" i="20"/>
  <c r="V166" i="20" s="1"/>
  <c r="W166" i="20" s="1"/>
  <c r="Q166" i="20"/>
  <c r="AO166" i="20"/>
  <c r="AP166" i="20" s="1"/>
  <c r="S117" i="20"/>
  <c r="U117" i="20"/>
  <c r="V117" i="20" s="1"/>
  <c r="W117" i="20" s="1"/>
  <c r="AD117" i="20"/>
  <c r="AH117" i="20"/>
  <c r="AO117" i="20"/>
  <c r="AP117" i="20" s="1"/>
  <c r="Q117" i="20"/>
  <c r="AG171" i="20"/>
  <c r="AI171" i="20" s="1"/>
  <c r="AV171" i="20"/>
  <c r="BL171" i="20" s="1"/>
  <c r="X148" i="20"/>
  <c r="Y148" i="20" s="1"/>
  <c r="Z148" i="20" s="1"/>
  <c r="X164" i="20"/>
  <c r="Y164" i="20" s="1"/>
  <c r="Z164" i="20" s="1"/>
  <c r="S115" i="20"/>
  <c r="U115" i="20"/>
  <c r="V115" i="20" s="1"/>
  <c r="W115" i="20" s="1"/>
  <c r="AD115" i="20"/>
  <c r="AH115" i="20"/>
  <c r="AO115" i="20"/>
  <c r="AP115" i="20" s="1"/>
  <c r="Q115" i="20"/>
  <c r="AF115" i="20"/>
  <c r="S188" i="20"/>
  <c r="U188" i="20"/>
  <c r="V188" i="20" s="1"/>
  <c r="W188" i="20" s="1"/>
  <c r="AD188" i="20"/>
  <c r="AO188" i="20"/>
  <c r="AP188" i="20" s="1"/>
  <c r="Q188" i="20"/>
  <c r="AH188" i="20"/>
  <c r="R191" i="20"/>
  <c r="AS191" i="20"/>
  <c r="Q199" i="20"/>
  <c r="S199" i="20"/>
  <c r="U199" i="20"/>
  <c r="V199" i="20" s="1"/>
  <c r="W199" i="20" s="1"/>
  <c r="AD199" i="20"/>
  <c r="AO199" i="20"/>
  <c r="AP199" i="20" s="1"/>
  <c r="AH199" i="20"/>
  <c r="AF199" i="20"/>
  <c r="P37" i="20"/>
  <c r="AO37" i="20" s="1"/>
  <c r="AP37" i="20" s="1"/>
  <c r="P54" i="20"/>
  <c r="AQ54" i="20" s="1"/>
  <c r="P49" i="20"/>
  <c r="AM49" i="20" s="1"/>
  <c r="P57" i="20"/>
  <c r="AM57" i="20" s="1"/>
  <c r="P41" i="20"/>
  <c r="AM41" i="20" s="1"/>
  <c r="P38" i="20"/>
  <c r="AO38" i="20" s="1"/>
  <c r="AP38" i="20" s="1"/>
  <c r="P50" i="20"/>
  <c r="AQ50" i="20" s="1"/>
  <c r="P34" i="20"/>
  <c r="AF34" i="20" s="1"/>
  <c r="AG34" i="20" s="1"/>
  <c r="P42" i="20"/>
  <c r="AM42" i="20" s="1"/>
  <c r="P45" i="20"/>
  <c r="AM45" i="20" s="1"/>
  <c r="P46" i="20"/>
  <c r="AJ46" i="20" s="1"/>
  <c r="AK46" i="20" s="1"/>
  <c r="P58" i="20"/>
  <c r="AM58" i="20" s="1"/>
  <c r="P53" i="20"/>
  <c r="AO53" i="20" s="1"/>
  <c r="AP53" i="20" s="1"/>
  <c r="AD67" i="20"/>
  <c r="AH76" i="20"/>
  <c r="S60" i="20"/>
  <c r="AD84" i="20"/>
  <c r="X100" i="20"/>
  <c r="Y100" i="20" s="1"/>
  <c r="Z100" i="20" s="1"/>
  <c r="AA60" i="20"/>
  <c r="AB60" i="20" s="1"/>
  <c r="AA76" i="20"/>
  <c r="AB76" i="20" s="1"/>
  <c r="AA92" i="20"/>
  <c r="AB92" i="20" s="1"/>
  <c r="AA108" i="20"/>
  <c r="AB108" i="20" s="1"/>
  <c r="Q67" i="20"/>
  <c r="AS67" i="20" s="1"/>
  <c r="Q60" i="20"/>
  <c r="AS60" i="20" s="1"/>
  <c r="AF68" i="20"/>
  <c r="Q76" i="20"/>
  <c r="AS76" i="20" s="1"/>
  <c r="AF84" i="20"/>
  <c r="AG84" i="20" s="1"/>
  <c r="Q92" i="20"/>
  <c r="AS92" i="20" s="1"/>
  <c r="AF100" i="20"/>
  <c r="AV100" i="20" s="1"/>
  <c r="BL100" i="20" s="1"/>
  <c r="Q108" i="20"/>
  <c r="AS108" i="20" s="1"/>
  <c r="AA67" i="20"/>
  <c r="AB67" i="20" s="1"/>
  <c r="AF75" i="20"/>
  <c r="AG75" i="20" s="1"/>
  <c r="AQ67" i="20"/>
  <c r="AQ71" i="20"/>
  <c r="AO71" i="20"/>
  <c r="AP71" i="20" s="1"/>
  <c r="AQ79" i="20"/>
  <c r="AO79" i="20"/>
  <c r="AP79" i="20" s="1"/>
  <c r="AJ72" i="20"/>
  <c r="AK72" i="20" s="1"/>
  <c r="AJ80" i="20"/>
  <c r="AK80" i="20" s="1"/>
  <c r="AO80" i="20"/>
  <c r="AP80" i="20" s="1"/>
  <c r="AR80" i="20" s="1"/>
  <c r="AQ78" i="20"/>
  <c r="AQ73" i="20"/>
  <c r="AJ71" i="20"/>
  <c r="AK71" i="20" s="1"/>
  <c r="AJ79" i="20"/>
  <c r="AK79" i="20" s="1"/>
  <c r="AQ77" i="20"/>
  <c r="AJ82" i="20"/>
  <c r="AK82" i="20" s="1"/>
  <c r="AJ78" i="20"/>
  <c r="AK78" i="20" s="1"/>
  <c r="AJ68" i="20"/>
  <c r="AK68" i="20" s="1"/>
  <c r="AJ76" i="20"/>
  <c r="AK76" i="20" s="1"/>
  <c r="AO68" i="20"/>
  <c r="AP68" i="20" s="1"/>
  <c r="AR68" i="20" s="1"/>
  <c r="AO76" i="20"/>
  <c r="AP76" i="20" s="1"/>
  <c r="AJ75" i="20"/>
  <c r="AK75" i="20" s="1"/>
  <c r="AO75" i="20"/>
  <c r="AP75" i="20" s="1"/>
  <c r="AR75" i="20" s="1"/>
  <c r="AL54" i="20"/>
  <c r="AL57" i="20"/>
  <c r="AL58" i="20"/>
  <c r="AL46" i="20"/>
  <c r="AL43" i="20"/>
  <c r="AL39" i="20"/>
  <c r="AL40" i="20"/>
  <c r="AL48" i="20"/>
  <c r="AL56" i="20"/>
  <c r="AL51" i="20"/>
  <c r="AL49" i="20"/>
  <c r="AL44" i="20"/>
  <c r="AL52" i="20"/>
  <c r="AL47" i="20"/>
  <c r="AL55" i="20"/>
  <c r="AL45" i="20"/>
  <c r="AL41" i="20"/>
  <c r="AL42" i="20"/>
  <c r="AL50" i="20"/>
  <c r="AO22" i="20"/>
  <c r="AP22" i="20" s="1"/>
  <c r="AQ32" i="20"/>
  <c r="S32" i="20"/>
  <c r="AM32" i="20"/>
  <c r="AO40" i="20"/>
  <c r="AP40" i="20" s="1"/>
  <c r="AM40" i="20"/>
  <c r="AQ40" i="20"/>
  <c r="AJ40" i="20"/>
  <c r="AK40" i="20" s="1"/>
  <c r="AJ109" i="20"/>
  <c r="AF22" i="20"/>
  <c r="AG22" i="20" s="1"/>
  <c r="AA22" i="20"/>
  <c r="AB22" i="20" s="1"/>
  <c r="M21" i="20"/>
  <c r="AC21" i="20" s="1"/>
  <c r="M13" i="20"/>
  <c r="AC13" i="20" s="1"/>
  <c r="M26" i="20"/>
  <c r="AQ20" i="20"/>
  <c r="AA20" i="20"/>
  <c r="AB20" i="20" s="1"/>
  <c r="M10" i="20"/>
  <c r="AC10" i="20" s="1"/>
  <c r="M14" i="20"/>
  <c r="AC14" i="20" s="1"/>
  <c r="M31" i="20"/>
  <c r="AC31" i="20" s="1"/>
  <c r="M33" i="20"/>
  <c r="AC33" i="20" s="1"/>
  <c r="M18" i="20"/>
  <c r="AC18" i="20" s="1"/>
  <c r="M17" i="20"/>
  <c r="AC17" i="20" s="1"/>
  <c r="M25" i="20"/>
  <c r="AC25" i="20" s="1"/>
  <c r="M29" i="20"/>
  <c r="AC29" i="20" s="1"/>
  <c r="M30" i="20"/>
  <c r="AQ9" i="20"/>
  <c r="AA9" i="20"/>
  <c r="AB9" i="20" s="1"/>
  <c r="AE9" i="20" s="1"/>
  <c r="Q22" i="20"/>
  <c r="AS22" i="20" s="1"/>
  <c r="AJ9" i="20"/>
  <c r="AK9" i="20" s="1"/>
  <c r="Q9" i="20"/>
  <c r="B68" i="20"/>
  <c r="B69" i="20" s="1"/>
  <c r="S67" i="20"/>
  <c r="S51" i="20"/>
  <c r="S100" i="20"/>
  <c r="AD95" i="20"/>
  <c r="AD91" i="20"/>
  <c r="AD100" i="20"/>
  <c r="AD87" i="20"/>
  <c r="U92" i="20"/>
  <c r="V92" i="20" s="1"/>
  <c r="W92" i="20" s="1"/>
  <c r="X92" i="20"/>
  <c r="Y92" i="20" s="1"/>
  <c r="Z92" i="20" s="1"/>
  <c r="S92" i="20"/>
  <c r="AD92" i="20"/>
  <c r="U108" i="20"/>
  <c r="V108" i="20" s="1"/>
  <c r="W108" i="20" s="1"/>
  <c r="S108" i="20"/>
  <c r="X68" i="20"/>
  <c r="Y68" i="20" s="1"/>
  <c r="Z68" i="20" s="1"/>
  <c r="S68" i="20"/>
  <c r="S99" i="20"/>
  <c r="AD68" i="20"/>
  <c r="AH92" i="20"/>
  <c r="AH108" i="20"/>
  <c r="S27" i="20"/>
  <c r="U76" i="20"/>
  <c r="V76" i="20" s="1"/>
  <c r="W76" i="20" s="1"/>
  <c r="S76" i="20"/>
  <c r="S95" i="20"/>
  <c r="S56" i="20"/>
  <c r="AD56" i="20"/>
  <c r="AD99" i="20"/>
  <c r="AH99" i="20"/>
  <c r="AD75" i="20"/>
  <c r="AG40" i="20"/>
  <c r="U40" i="20"/>
  <c r="V40" i="20" s="1"/>
  <c r="W40" i="20" s="1"/>
  <c r="AH40" i="20"/>
  <c r="U60" i="20"/>
  <c r="V60" i="20" s="1"/>
  <c r="W60" i="20" s="1"/>
  <c r="AH60" i="20"/>
  <c r="AD60" i="20"/>
  <c r="AH71" i="20"/>
  <c r="AD71" i="20"/>
  <c r="S91" i="20"/>
  <c r="S71" i="20"/>
  <c r="S87" i="20"/>
  <c r="S84" i="20"/>
  <c r="AD40" i="20"/>
  <c r="S40" i="20"/>
  <c r="U22" i="20"/>
  <c r="V22" i="20" s="1"/>
  <c r="W22" i="20" s="1"/>
  <c r="AH22" i="20"/>
  <c r="AD51" i="20"/>
  <c r="U51" i="20"/>
  <c r="V51" i="20" s="1"/>
  <c r="W51" i="20" s="1"/>
  <c r="U59" i="20"/>
  <c r="V59" i="20" s="1"/>
  <c r="W59" i="20" s="1"/>
  <c r="U67" i="20"/>
  <c r="V67" i="20" s="1"/>
  <c r="W67" i="20" s="1"/>
  <c r="AD79" i="20"/>
  <c r="U79" i="20"/>
  <c r="V79" i="20" s="1"/>
  <c r="W79" i="20" s="1"/>
  <c r="U91" i="20"/>
  <c r="V91" i="20" s="1"/>
  <c r="W91" i="20" s="1"/>
  <c r="AH27" i="20"/>
  <c r="U27" i="20"/>
  <c r="V27" i="20" s="1"/>
  <c r="W27" i="20" s="1"/>
  <c r="X40" i="20"/>
  <c r="Y40" i="20" s="1"/>
  <c r="Z40" i="20" s="1"/>
  <c r="X60" i="20"/>
  <c r="Y60" i="20" s="1"/>
  <c r="Z60" i="20" s="1"/>
  <c r="X76" i="20"/>
  <c r="Y76" i="20" s="1"/>
  <c r="Z76" i="20" s="1"/>
  <c r="AH84" i="20"/>
  <c r="U84" i="20"/>
  <c r="V84" i="20" s="1"/>
  <c r="W84" i="20" s="1"/>
  <c r="X108" i="20"/>
  <c r="Y108" i="20" s="1"/>
  <c r="Z108" i="20" s="1"/>
  <c r="U55" i="20"/>
  <c r="V55" i="20" s="1"/>
  <c r="W55" i="20" s="1"/>
  <c r="U71" i="20"/>
  <c r="V71" i="20" s="1"/>
  <c r="W71" i="20" s="1"/>
  <c r="X22" i="20"/>
  <c r="Y22" i="20" s="1"/>
  <c r="Z22" i="20" s="1"/>
  <c r="X27" i="20"/>
  <c r="Y27" i="20" s="1"/>
  <c r="Z27" i="20" s="1"/>
  <c r="X84" i="20"/>
  <c r="Y84" i="20" s="1"/>
  <c r="Z84" i="20" s="1"/>
  <c r="AH100" i="20"/>
  <c r="U100" i="20"/>
  <c r="V100" i="20" s="1"/>
  <c r="W100" i="20" s="1"/>
  <c r="X51" i="20"/>
  <c r="Y51" i="20" s="1"/>
  <c r="Z51" i="20" s="1"/>
  <c r="X71" i="20"/>
  <c r="Y71" i="20" s="1"/>
  <c r="Z71" i="20" s="1"/>
  <c r="X91" i="20"/>
  <c r="Y91" i="20" s="1"/>
  <c r="Z91" i="20" s="1"/>
  <c r="U103" i="20"/>
  <c r="V103" i="20" s="1"/>
  <c r="W103" i="20" s="1"/>
  <c r="AH10" i="20"/>
  <c r="U75" i="20"/>
  <c r="V75" i="20" s="1"/>
  <c r="W75" i="20" s="1"/>
  <c r="U87" i="20"/>
  <c r="V87" i="20" s="1"/>
  <c r="W87" i="20" s="1"/>
  <c r="AH11" i="20"/>
  <c r="U99" i="20"/>
  <c r="V99" i="20" s="1"/>
  <c r="W99" i="20" s="1"/>
  <c r="AH56" i="20"/>
  <c r="U56" i="20"/>
  <c r="V56" i="20" s="1"/>
  <c r="W56" i="20" s="1"/>
  <c r="X56" i="20"/>
  <c r="Y56" i="20" s="1"/>
  <c r="Z56" i="20" s="1"/>
  <c r="X59" i="20"/>
  <c r="Y59" i="20" s="1"/>
  <c r="Z59" i="20" s="1"/>
  <c r="X75" i="20"/>
  <c r="Y75" i="20" s="1"/>
  <c r="Z75" i="20" s="1"/>
  <c r="X79" i="20"/>
  <c r="Y79" i="20" s="1"/>
  <c r="Z79" i="20" s="1"/>
  <c r="X103" i="20"/>
  <c r="Y103" i="20" s="1"/>
  <c r="Z103" i="20" s="1"/>
  <c r="U9" i="20"/>
  <c r="V9" i="20" s="1"/>
  <c r="W9" i="20" s="1"/>
  <c r="AH68" i="20"/>
  <c r="U68" i="20"/>
  <c r="V68" i="20" s="1"/>
  <c r="W68" i="20" s="1"/>
  <c r="X55" i="20"/>
  <c r="Y55" i="20" s="1"/>
  <c r="Z55" i="20" s="1"/>
  <c r="X67" i="20"/>
  <c r="Y67" i="20" s="1"/>
  <c r="Z67" i="20" s="1"/>
  <c r="X87" i="20"/>
  <c r="Y87" i="20" s="1"/>
  <c r="Z87" i="20" s="1"/>
  <c r="X95" i="20"/>
  <c r="Y95" i="20" s="1"/>
  <c r="Z95" i="20" s="1"/>
  <c r="AD59" i="20"/>
  <c r="AH9" i="20"/>
  <c r="AH91" i="20"/>
  <c r="AH51" i="20"/>
  <c r="AH67" i="20"/>
  <c r="AH79" i="20"/>
  <c r="AH95" i="20"/>
  <c r="AB95" i="20"/>
  <c r="R103" i="20"/>
  <c r="AH103" i="20"/>
  <c r="AH59" i="20"/>
  <c r="AH75" i="20"/>
  <c r="R87" i="20"/>
  <c r="AH87" i="20"/>
  <c r="AL11" i="20"/>
  <c r="AL13" i="20"/>
  <c r="AL15" i="20"/>
  <c r="AL17" i="20"/>
  <c r="AL19" i="20"/>
  <c r="AL21" i="20"/>
  <c r="AL23" i="20"/>
  <c r="AL25" i="20"/>
  <c r="AL27" i="20"/>
  <c r="AL29" i="20"/>
  <c r="AL31" i="20"/>
  <c r="AL33" i="20"/>
  <c r="AL35" i="20"/>
  <c r="AL37" i="20"/>
  <c r="AL10" i="20"/>
  <c r="AL12" i="20"/>
  <c r="AL14" i="20"/>
  <c r="AL16" i="20"/>
  <c r="AL18" i="20"/>
  <c r="AL20" i="20"/>
  <c r="AL22" i="20"/>
  <c r="AL24" i="20"/>
  <c r="AL26" i="20"/>
  <c r="AL28" i="20"/>
  <c r="AL30" i="20"/>
  <c r="AL32" i="20"/>
  <c r="AL34" i="20"/>
  <c r="AL36" i="20"/>
  <c r="AL38" i="20"/>
  <c r="AL9" i="20"/>
  <c r="S20" i="20"/>
  <c r="AM20" i="20"/>
  <c r="S9" i="20"/>
  <c r="AM9" i="20"/>
  <c r="S22" i="20"/>
  <c r="AM22" i="20"/>
  <c r="E84" i="2"/>
  <c r="B70" i="20"/>
  <c r="C79" i="20"/>
  <c r="B79" i="20" s="1"/>
  <c r="B80" i="20" s="1"/>
  <c r="G594" i="17"/>
  <c r="E316" i="2"/>
  <c r="B192" i="2"/>
  <c r="B193" i="2" s="1"/>
  <c r="B187" i="2"/>
  <c r="B188" i="2" s="1"/>
  <c r="E50" i="1" s="1"/>
  <c r="B83" i="2"/>
  <c r="D30" i="1" s="1"/>
  <c r="B84" i="2"/>
  <c r="F83" i="2"/>
  <c r="F84" i="2"/>
  <c r="E83" i="2"/>
  <c r="B179" i="2"/>
  <c r="F267" i="2"/>
  <c r="F178" i="2"/>
  <c r="B128" i="2"/>
  <c r="H133" i="2" s="1"/>
  <c r="B269" i="2"/>
  <c r="J78" i="1" s="1"/>
  <c r="N104" i="2"/>
  <c r="H44" i="17"/>
  <c r="B267" i="2"/>
  <c r="H107" i="17"/>
  <c r="H571" i="17"/>
  <c r="H93" i="17"/>
  <c r="H407" i="17"/>
  <c r="H247" i="17"/>
  <c r="H305" i="17"/>
  <c r="G484" i="17"/>
  <c r="G582" i="17"/>
  <c r="G59" i="17"/>
  <c r="H362" i="17"/>
  <c r="G367" i="17"/>
  <c r="G49" i="17"/>
  <c r="H561" i="17"/>
  <c r="H350" i="17"/>
  <c r="H292" i="17"/>
  <c r="G491" i="17"/>
  <c r="G34" i="17"/>
  <c r="H152" i="17"/>
  <c r="H54" i="17"/>
  <c r="H315" i="17"/>
  <c r="H105" i="17"/>
  <c r="G490" i="17"/>
  <c r="H448" i="17"/>
  <c r="G533" i="17"/>
  <c r="H172" i="17"/>
  <c r="G177" i="17"/>
  <c r="H433" i="17"/>
  <c r="G352" i="17"/>
  <c r="G94" i="17"/>
  <c r="G269" i="17"/>
  <c r="H35" i="17"/>
  <c r="G455" i="17"/>
  <c r="H364" i="17"/>
  <c r="G176" i="17"/>
  <c r="H546" i="17"/>
  <c r="G326" i="17"/>
  <c r="H194" i="17"/>
  <c r="H284" i="17"/>
  <c r="G427" i="17"/>
  <c r="H182" i="17"/>
  <c r="G187" i="17"/>
  <c r="H443" i="17"/>
  <c r="G362" i="17"/>
  <c r="G106" i="17"/>
  <c r="G281" i="17"/>
  <c r="H597" i="17"/>
  <c r="G248" i="17"/>
  <c r="H576" i="17"/>
  <c r="G469" i="17"/>
  <c r="G597" i="17"/>
  <c r="H108" i="17"/>
  <c r="H236" i="17"/>
  <c r="G113" i="17"/>
  <c r="G241" i="17"/>
  <c r="H369" i="17"/>
  <c r="H497" i="17"/>
  <c r="G288" i="17"/>
  <c r="G416" i="17"/>
  <c r="H221" i="17"/>
  <c r="G222" i="17"/>
  <c r="H478" i="17"/>
  <c r="G397" i="17"/>
  <c r="G548" i="17"/>
  <c r="G36" i="17"/>
  <c r="H548" i="17"/>
  <c r="G583" i="17"/>
  <c r="G108" i="17"/>
  <c r="G283" i="17"/>
  <c r="H600" i="17"/>
  <c r="H175" i="17"/>
  <c r="G454" i="17"/>
  <c r="H290" i="17"/>
  <c r="H33" i="17"/>
  <c r="H535" i="17"/>
  <c r="G199" i="17"/>
  <c r="H25" i="17"/>
  <c r="G54" i="17"/>
  <c r="G21" i="17"/>
  <c r="H57" i="17"/>
  <c r="H118" i="17"/>
  <c r="H246" i="17"/>
  <c r="G123" i="17"/>
  <c r="G251" i="17"/>
  <c r="H379" i="17"/>
  <c r="H507" i="17"/>
  <c r="G298" i="17"/>
  <c r="G426" i="17"/>
  <c r="H233" i="17"/>
  <c r="G234" i="17"/>
  <c r="H490" i="17"/>
  <c r="G409" i="17"/>
  <c r="G554" i="17"/>
  <c r="H119" i="17"/>
  <c r="G120" i="17"/>
  <c r="H376" i="17"/>
  <c r="H512" i="17"/>
  <c r="G303" i="17"/>
  <c r="G431" i="17"/>
  <c r="G501" i="17"/>
  <c r="G565" i="17"/>
  <c r="H626" i="17"/>
  <c r="H76" i="17"/>
  <c r="H140" i="17"/>
  <c r="H204" i="17"/>
  <c r="G17" i="17"/>
  <c r="G81" i="17"/>
  <c r="G145" i="17"/>
  <c r="G209" i="17"/>
  <c r="H273" i="17"/>
  <c r="H337" i="17"/>
  <c r="H401" i="17"/>
  <c r="H465" i="17"/>
  <c r="H529" i="17"/>
  <c r="H596" i="17"/>
  <c r="G320" i="17"/>
  <c r="G384" i="17"/>
  <c r="H29" i="17"/>
  <c r="H157" i="17"/>
  <c r="G30" i="17"/>
  <c r="G158" i="17"/>
  <c r="H286" i="17"/>
  <c r="H414" i="17"/>
  <c r="H542" i="17"/>
  <c r="G333" i="17"/>
  <c r="G452" i="17"/>
  <c r="G516" i="17"/>
  <c r="G580" i="17"/>
  <c r="H163" i="17"/>
  <c r="G164" i="17"/>
  <c r="H420" i="17"/>
  <c r="G339" i="17"/>
  <c r="G519" i="17"/>
  <c r="G604" i="17"/>
  <c r="H235" i="17"/>
  <c r="G236" i="17"/>
  <c r="H492" i="17"/>
  <c r="G411" i="17"/>
  <c r="G555" i="17"/>
  <c r="H304" i="17"/>
  <c r="G48" i="17"/>
  <c r="H47" i="17"/>
  <c r="G518" i="17"/>
  <c r="G337" i="17"/>
  <c r="H418" i="17"/>
  <c r="G162" i="17"/>
  <c r="H161" i="17"/>
  <c r="G390" i="17"/>
  <c r="H608" i="17"/>
  <c r="H471" i="17"/>
  <c r="H327" i="17"/>
  <c r="G71" i="17"/>
  <c r="H158" i="17"/>
  <c r="H408" i="17"/>
  <c r="H413" i="17"/>
  <c r="G600" i="17"/>
  <c r="G250" i="17"/>
  <c r="H294" i="17"/>
  <c r="H325" i="17"/>
  <c r="G101" i="17"/>
  <c r="H132" i="2"/>
  <c r="E35" i="1"/>
  <c r="H134" i="2"/>
  <c r="B127" i="2"/>
  <c r="K132" i="2" s="1"/>
  <c r="M132" i="2" s="1"/>
  <c r="E18" i="1"/>
  <c r="H419" i="17"/>
  <c r="G595" i="17"/>
  <c r="H316" i="17"/>
  <c r="H160" i="17"/>
  <c r="H187" i="17"/>
  <c r="H133" i="17"/>
  <c r="H64" i="17"/>
  <c r="G274" i="17"/>
  <c r="G612" i="17"/>
  <c r="G456" i="17"/>
  <c r="H37" i="17"/>
  <c r="H277" i="17"/>
  <c r="H16" i="17"/>
  <c r="H135" i="17"/>
  <c r="H515" i="17"/>
  <c r="G451" i="17"/>
  <c r="H27" i="17"/>
  <c r="G212" i="17"/>
  <c r="G464" i="17"/>
  <c r="H310" i="17"/>
  <c r="H53" i="17"/>
  <c r="H541" i="17"/>
  <c r="H285" i="17"/>
  <c r="G29" i="17"/>
  <c r="H24" i="17"/>
  <c r="G327" i="17"/>
  <c r="H167" i="17"/>
  <c r="H282" i="17"/>
  <c r="H531" i="17"/>
  <c r="H238" i="17"/>
  <c r="H42" i="17"/>
  <c r="H162" i="17"/>
  <c r="H226" i="17"/>
  <c r="G39" i="17"/>
  <c r="G103" i="17"/>
  <c r="G167" i="17"/>
  <c r="G231" i="17"/>
  <c r="H295" i="17"/>
  <c r="H359" i="17"/>
  <c r="H391" i="17"/>
  <c r="H423" i="17"/>
  <c r="H455" i="17"/>
  <c r="H487" i="17"/>
  <c r="H519" i="17"/>
  <c r="H551" i="17"/>
  <c r="H583" i="17"/>
  <c r="G278" i="17"/>
  <c r="G310" i="17"/>
  <c r="G342" i="17"/>
  <c r="G374" i="17"/>
  <c r="G406" i="17"/>
  <c r="G438" i="17"/>
  <c r="H65" i="17"/>
  <c r="H129" i="17"/>
  <c r="H193" i="17"/>
  <c r="H257" i="17"/>
  <c r="G66" i="17"/>
  <c r="G130" i="17"/>
  <c r="G194" i="17"/>
  <c r="G258" i="17"/>
  <c r="H322" i="17"/>
  <c r="H386" i="17"/>
  <c r="H450" i="17"/>
  <c r="H514" i="17"/>
  <c r="H578" i="17"/>
  <c r="G305" i="17"/>
  <c r="G369" i="17"/>
  <c r="G433" i="17"/>
  <c r="G470" i="17"/>
  <c r="G502" i="17"/>
  <c r="G534" i="17"/>
  <c r="G566" i="17"/>
  <c r="G598" i="17"/>
  <c r="H15" i="17"/>
  <c r="H79" i="17"/>
  <c r="H143" i="17"/>
  <c r="H207" i="17"/>
  <c r="G16" i="17"/>
  <c r="G80" i="17"/>
  <c r="G144" i="17"/>
  <c r="G208" i="17"/>
  <c r="H272" i="17"/>
  <c r="H336" i="17"/>
  <c r="H22" i="17"/>
  <c r="H86" i="17"/>
  <c r="H150" i="17"/>
  <c r="H214" i="17"/>
  <c r="G27" i="17"/>
  <c r="G91" i="17"/>
  <c r="G155" i="17"/>
  <c r="G219" i="17"/>
  <c r="H283" i="17"/>
  <c r="H347" i="17"/>
  <c r="H411" i="17"/>
  <c r="H475" i="17"/>
  <c r="H539" i="17"/>
  <c r="G266" i="17"/>
  <c r="G330" i="17"/>
  <c r="G394" i="17"/>
  <c r="H41" i="17"/>
  <c r="H169" i="17"/>
  <c r="G42" i="17"/>
  <c r="G170" i="17"/>
  <c r="H298" i="17"/>
  <c r="H426" i="17"/>
  <c r="H554" i="17"/>
  <c r="G345" i="17"/>
  <c r="G458" i="17"/>
  <c r="G522" i="17"/>
  <c r="G586" i="17"/>
  <c r="H55" i="17"/>
  <c r="H183" i="17"/>
  <c r="G56" i="17"/>
  <c r="G184" i="17"/>
  <c r="H312" i="17"/>
  <c r="H416" i="17"/>
  <c r="H480" i="17"/>
  <c r="H544" i="17"/>
  <c r="G271" i="17"/>
  <c r="G335" i="17"/>
  <c r="G399" i="17"/>
  <c r="G453" i="17"/>
  <c r="G485" i="17"/>
  <c r="G517" i="17"/>
  <c r="G549" i="17"/>
  <c r="G581" i="17"/>
  <c r="G613" i="17"/>
  <c r="H28" i="17"/>
  <c r="H60" i="17"/>
  <c r="H92" i="17"/>
  <c r="H124" i="17"/>
  <c r="H156" i="17"/>
  <c r="H188" i="17"/>
  <c r="H220" i="17"/>
  <c r="H252" i="17"/>
  <c r="G33" i="17"/>
  <c r="G65" i="17"/>
  <c r="G97" i="17"/>
  <c r="G129" i="17"/>
  <c r="G161" i="17"/>
  <c r="G193" i="17"/>
  <c r="G225" i="17"/>
  <c r="G257" i="17"/>
  <c r="H289" i="17"/>
  <c r="H321" i="17"/>
  <c r="H353" i="17"/>
  <c r="H385" i="17"/>
  <c r="H417" i="17"/>
  <c r="H449" i="17"/>
  <c r="H481" i="17"/>
  <c r="H513" i="17"/>
  <c r="H545" i="17"/>
  <c r="H577" i="17"/>
  <c r="G272" i="17"/>
  <c r="G304" i="17"/>
  <c r="G336" i="17"/>
  <c r="G368" i="17"/>
  <c r="G400" i="17"/>
  <c r="G432" i="17"/>
  <c r="H61" i="17"/>
  <c r="H125" i="17"/>
  <c r="H189" i="17"/>
  <c r="H253" i="17"/>
  <c r="G62" i="17"/>
  <c r="G126" i="17"/>
  <c r="G190" i="17"/>
  <c r="G254" i="17"/>
  <c r="H318" i="17"/>
  <c r="H382" i="17"/>
  <c r="H446" i="17"/>
  <c r="H510" i="17"/>
  <c r="H574" i="17"/>
  <c r="G301" i="17"/>
  <c r="G365" i="17"/>
  <c r="G429" i="17"/>
  <c r="G468" i="17"/>
  <c r="G500" i="17"/>
  <c r="G532" i="17"/>
  <c r="G564" i="17"/>
  <c r="G608" i="17"/>
  <c r="H99" i="17"/>
  <c r="H227" i="17"/>
  <c r="G100" i="17"/>
  <c r="G228" i="17"/>
  <c r="H356" i="17"/>
  <c r="H484" i="17"/>
  <c r="G275" i="17"/>
  <c r="G403" i="17"/>
  <c r="G487" i="17"/>
  <c r="G551" i="17"/>
  <c r="H591" i="17"/>
  <c r="H43" i="17"/>
  <c r="H171" i="17"/>
  <c r="G44" i="17"/>
  <c r="G172" i="17"/>
  <c r="H300" i="17"/>
  <c r="H428" i="17"/>
  <c r="H556" i="17"/>
  <c r="G347" i="17"/>
  <c r="G459" i="17"/>
  <c r="G523" i="17"/>
  <c r="G587" i="17"/>
  <c r="H368" i="17"/>
  <c r="G240" i="17"/>
  <c r="G112" i="17"/>
  <c r="H239" i="17"/>
  <c r="H111" i="17"/>
  <c r="H13" i="17"/>
  <c r="G550" i="17"/>
  <c r="G486" i="17"/>
  <c r="G401" i="17"/>
  <c r="G273" i="17"/>
  <c r="H482" i="17"/>
  <c r="H354" i="17"/>
  <c r="G226" i="17"/>
  <c r="G98" i="17"/>
  <c r="H225" i="17"/>
  <c r="H97" i="17"/>
  <c r="G422" i="17"/>
  <c r="G358" i="17"/>
  <c r="G294" i="17"/>
  <c r="H567" i="17"/>
  <c r="H503" i="17"/>
  <c r="H439" i="17"/>
  <c r="H375" i="17"/>
  <c r="G263" i="17"/>
  <c r="G135" i="17"/>
  <c r="H258" i="17"/>
  <c r="H106" i="17"/>
  <c r="H275" i="17"/>
  <c r="G450" i="17"/>
  <c r="G513" i="17"/>
  <c r="G157" i="17"/>
  <c r="G332" i="17"/>
  <c r="H566" i="17"/>
  <c r="G387" i="17"/>
  <c r="H206" i="17"/>
  <c r="G311" i="17"/>
  <c r="H533" i="17"/>
  <c r="G180" i="17"/>
  <c r="G72" i="17"/>
  <c r="G504" i="17"/>
  <c r="G70" i="17"/>
  <c r="B317" i="2"/>
  <c r="G559" i="17"/>
  <c r="H485" i="17"/>
  <c r="H454" i="17"/>
  <c r="H570" i="17"/>
  <c r="H593" i="17"/>
  <c r="H421" i="17"/>
  <c r="H424" i="17"/>
  <c r="G531" i="17"/>
  <c r="H372" i="17"/>
  <c r="H390" i="17"/>
  <c r="H581" i="17"/>
  <c r="G69" i="17"/>
  <c r="G407" i="17"/>
  <c r="H442" i="17"/>
  <c r="G99" i="17"/>
  <c r="G252" i="17"/>
  <c r="G355" i="17"/>
  <c r="G584" i="17"/>
  <c r="H550" i="17"/>
  <c r="G38" i="17"/>
  <c r="G324" i="17"/>
  <c r="H405" i="17"/>
  <c r="G149" i="17"/>
  <c r="H144" i="17"/>
  <c r="G505" i="17"/>
  <c r="H392" i="17"/>
  <c r="G425" i="17"/>
  <c r="G434" i="17"/>
  <c r="G259" i="17"/>
  <c r="G579" i="17"/>
  <c r="H540" i="17"/>
  <c r="G28" i="17"/>
  <c r="G543" i="17"/>
  <c r="H468" i="17"/>
  <c r="H211" i="17"/>
  <c r="G528" i="17"/>
  <c r="G357" i="17"/>
  <c r="H438" i="17"/>
  <c r="G182" i="17"/>
  <c r="H181" i="17"/>
  <c r="G396" i="17"/>
  <c r="G268" i="17"/>
  <c r="H477" i="17"/>
  <c r="H349" i="17"/>
  <c r="G221" i="17"/>
  <c r="G93" i="17"/>
  <c r="H216" i="17"/>
  <c r="H88" i="17"/>
  <c r="G577" i="17"/>
  <c r="G449" i="17"/>
  <c r="H536" i="17"/>
  <c r="G168" i="17"/>
  <c r="G578" i="17"/>
  <c r="H538" i="17"/>
  <c r="G26" i="17"/>
  <c r="G322" i="17"/>
  <c r="H403" i="17"/>
  <c r="G147" i="17"/>
  <c r="G35" i="17"/>
  <c r="H623" i="17"/>
  <c r="H74" i="17"/>
  <c r="H138" i="17"/>
  <c r="H178" i="17"/>
  <c r="H210" i="17"/>
  <c r="H242" i="17"/>
  <c r="G23" i="17"/>
  <c r="G55" i="17"/>
  <c r="G87" i="17"/>
  <c r="G119" i="17"/>
  <c r="G151" i="17"/>
  <c r="G183" i="17"/>
  <c r="G215" i="17"/>
  <c r="G247" i="17"/>
  <c r="H279" i="17"/>
  <c r="H311" i="17"/>
  <c r="H343" i="17"/>
  <c r="K185" i="2"/>
  <c r="E19" i="1"/>
  <c r="B284" i="2"/>
  <c r="B307" i="2" s="1"/>
  <c r="H30" i="17"/>
  <c r="G404" i="17"/>
  <c r="G585" i="17"/>
  <c r="G229" i="17"/>
  <c r="H572" i="17"/>
  <c r="G198" i="17"/>
  <c r="H224" i="17"/>
  <c r="G58" i="17"/>
  <c r="G60" i="17"/>
  <c r="G536" i="17"/>
  <c r="H197" i="17"/>
  <c r="H357" i="17"/>
  <c r="H96" i="17"/>
  <c r="G200" i="17"/>
  <c r="G338" i="17"/>
  <c r="G467" i="17"/>
  <c r="H59" i="17"/>
  <c r="G244" i="17"/>
  <c r="G472" i="17"/>
  <c r="H326" i="17"/>
  <c r="H69" i="17"/>
  <c r="H549" i="17"/>
  <c r="H293" i="17"/>
  <c r="G37" i="17"/>
  <c r="H32" i="17"/>
  <c r="G343" i="17"/>
  <c r="H199" i="17"/>
  <c r="H314" i="17"/>
  <c r="H547" i="17"/>
  <c r="G19" i="17"/>
  <c r="G363" i="17"/>
  <c r="G188" i="17"/>
  <c r="H607" i="17"/>
  <c r="G291" i="17"/>
  <c r="G116" i="17"/>
  <c r="G568" i="17"/>
  <c r="G437" i="17"/>
  <c r="H518" i="17"/>
  <c r="G262" i="17"/>
  <c r="H261" i="17"/>
  <c r="G436" i="17"/>
  <c r="G308" i="17"/>
  <c r="H517" i="17"/>
  <c r="H389" i="17"/>
  <c r="G261" i="17"/>
  <c r="G133" i="17"/>
  <c r="H256" i="17"/>
  <c r="H128" i="17"/>
  <c r="H595" i="17"/>
  <c r="G489" i="17"/>
  <c r="G279" i="17"/>
  <c r="H328" i="17"/>
  <c r="H71" i="17"/>
  <c r="G361" i="17"/>
  <c r="G186" i="17"/>
  <c r="G402" i="17"/>
  <c r="H483" i="17"/>
  <c r="G227" i="17"/>
  <c r="H142" i="17"/>
  <c r="G499" i="17"/>
  <c r="G299" i="17"/>
  <c r="H380" i="17"/>
  <c r="G124" i="17"/>
  <c r="H123" i="17"/>
  <c r="G591" i="17"/>
  <c r="G463" i="17"/>
  <c r="H564" i="17"/>
  <c r="H308" i="17"/>
  <c r="G52" i="17"/>
  <c r="H51" i="17"/>
  <c r="G552" i="17"/>
  <c r="G488" i="17"/>
  <c r="G405" i="17"/>
  <c r="G277" i="17"/>
  <c r="H486" i="17"/>
  <c r="H358" i="17"/>
  <c r="G230" i="17"/>
  <c r="G102" i="17"/>
  <c r="H229" i="17"/>
  <c r="H101" i="17"/>
  <c r="G420" i="17"/>
  <c r="G356" i="17"/>
  <c r="G292" i="17"/>
  <c r="H565" i="17"/>
  <c r="H501" i="17"/>
  <c r="H437" i="17"/>
  <c r="H373" i="17"/>
  <c r="H309" i="17"/>
  <c r="G245" i="17"/>
  <c r="G181" i="17"/>
  <c r="G117" i="17"/>
  <c r="G53" i="17"/>
  <c r="H240" i="17"/>
  <c r="H176" i="17"/>
  <c r="H112" i="17"/>
  <c r="H48" i="17"/>
  <c r="G601" i="17"/>
  <c r="G537" i="17"/>
  <c r="G473" i="17"/>
  <c r="G375" i="17"/>
  <c r="H584" i="17"/>
  <c r="H456" i="17"/>
  <c r="G264" i="17"/>
  <c r="H263" i="17"/>
  <c r="H613" i="17"/>
  <c r="G498" i="17"/>
  <c r="G297" i="17"/>
  <c r="H378" i="17"/>
  <c r="G122" i="17"/>
  <c r="H121" i="17"/>
  <c r="G370" i="17"/>
  <c r="H579" i="17"/>
  <c r="H451" i="17"/>
  <c r="H323" i="17"/>
  <c r="G195" i="17"/>
  <c r="G67" i="17"/>
  <c r="H78" i="17"/>
  <c r="G611" i="17"/>
  <c r="G547" i="17"/>
  <c r="G483" i="17"/>
  <c r="G395" i="17"/>
  <c r="G267" i="17"/>
  <c r="H476" i="17"/>
  <c r="H348" i="17"/>
  <c r="G220" i="17"/>
  <c r="G92" i="17"/>
  <c r="H219" i="17"/>
  <c r="H91" i="17"/>
  <c r="G596" i="17"/>
  <c r="G575" i="17"/>
  <c r="G511" i="17"/>
  <c r="G447" i="17"/>
  <c r="G323" i="17"/>
  <c r="H532" i="17"/>
  <c r="H404" i="17"/>
  <c r="H276" i="17"/>
  <c r="G148" i="17"/>
  <c r="G20" i="17"/>
  <c r="H147" i="17"/>
  <c r="H19" i="17"/>
  <c r="G576" i="17"/>
  <c r="G544" i="17"/>
  <c r="G512" i="17"/>
  <c r="G480" i="17"/>
  <c r="G448" i="17"/>
  <c r="G389" i="17"/>
  <c r="G325" i="17"/>
  <c r="H606" i="17"/>
  <c r="H534" i="17"/>
  <c r="H470" i="17"/>
  <c r="H406" i="17"/>
  <c r="H342" i="17"/>
  <c r="H278" i="17"/>
  <c r="G214" i="17"/>
  <c r="G150" i="17"/>
  <c r="G86" i="17"/>
  <c r="G22" i="17"/>
  <c r="H213" i="17"/>
  <c r="H149" i="17"/>
  <c r="H85" i="17"/>
  <c r="H21" i="17"/>
  <c r="G412" i="17"/>
  <c r="G380" i="17"/>
  <c r="G348" i="17"/>
  <c r="G316" i="17"/>
  <c r="G284" i="17"/>
  <c r="H589" i="17"/>
  <c r="H557" i="17"/>
  <c r="H525" i="17"/>
  <c r="H493" i="17"/>
  <c r="H461" i="17"/>
  <c r="H429" i="17"/>
  <c r="H397" i="17"/>
  <c r="H365" i="17"/>
  <c r="H333" i="17"/>
  <c r="H301" i="17"/>
  <c r="H269" i="17"/>
  <c r="G237" i="17"/>
  <c r="G205" i="17"/>
  <c r="G173" i="17"/>
  <c r="G141" i="17"/>
  <c r="G109" i="17"/>
  <c r="G77" i="17"/>
  <c r="G45" i="17"/>
  <c r="H264" i="17"/>
  <c r="H232" i="17"/>
  <c r="H200" i="17"/>
  <c r="H168" i="17"/>
  <c r="H136" i="17"/>
  <c r="H104" i="17"/>
  <c r="H72" i="17"/>
  <c r="H40" i="17"/>
  <c r="H611" i="17"/>
  <c r="G593" i="17"/>
  <c r="G561" i="17"/>
  <c r="G529" i="17"/>
  <c r="G497" i="17"/>
  <c r="G465" i="17"/>
  <c r="G423" i="17"/>
  <c r="G359" i="17"/>
  <c r="G295" i="17"/>
  <c r="H568" i="17"/>
  <c r="H504" i="17"/>
  <c r="H440" i="17"/>
  <c r="H360" i="17"/>
  <c r="G232" i="17"/>
  <c r="G104" i="17"/>
  <c r="H231" i="17"/>
  <c r="H103" i="17"/>
  <c r="G610" i="17"/>
  <c r="G546" i="17"/>
  <c r="G482" i="17"/>
  <c r="G393" i="17"/>
  <c r="G13" i="17"/>
  <c r="H474" i="17"/>
  <c r="H346" i="17"/>
  <c r="G218" i="17"/>
  <c r="G90" i="17"/>
  <c r="H217" i="17"/>
  <c r="H89" i="17"/>
  <c r="G418" i="17"/>
  <c r="G354" i="17"/>
  <c r="G290" i="17"/>
  <c r="H563" i="17"/>
  <c r="H499" i="17"/>
  <c r="H435" i="17"/>
  <c r="H371" i="17"/>
  <c r="H307" i="17"/>
  <c r="G243" i="17"/>
  <c r="G179" i="17"/>
  <c r="G115" i="17"/>
  <c r="G51" i="17"/>
  <c r="H174" i="17"/>
  <c r="H46" i="17"/>
  <c r="H254" i="17"/>
  <c r="H190" i="17"/>
  <c r="H126" i="17"/>
  <c r="H62" i="17"/>
  <c r="H18" i="17"/>
  <c r="H34" i="17"/>
  <c r="H50" i="17"/>
  <c r="H66" i="17"/>
  <c r="H82" i="17"/>
  <c r="H98" i="17"/>
  <c r="H114" i="17"/>
  <c r="H130" i="17"/>
  <c r="H146" i="17"/>
  <c r="G623" i="17"/>
  <c r="H38" i="17"/>
  <c r="H70" i="17"/>
  <c r="H102" i="17"/>
  <c r="H134" i="17"/>
  <c r="H166" i="17"/>
  <c r="H198" i="17"/>
  <c r="H230" i="17"/>
  <c r="H262" i="17"/>
  <c r="G43" i="17"/>
  <c r="G75" i="17"/>
  <c r="G107" i="17"/>
  <c r="G139" i="17"/>
  <c r="G171" i="17"/>
  <c r="G203" i="17"/>
  <c r="G235" i="17"/>
  <c r="H267" i="17"/>
  <c r="H299" i="17"/>
  <c r="H331" i="17"/>
  <c r="H363" i="17"/>
  <c r="H395" i="17"/>
  <c r="H427" i="17"/>
  <c r="H459" i="17"/>
  <c r="H491" i="17"/>
  <c r="H523" i="17"/>
  <c r="H555" i="17"/>
  <c r="H587" i="17"/>
  <c r="G282" i="17"/>
  <c r="G314" i="17"/>
  <c r="G346" i="17"/>
  <c r="G378" i="17"/>
  <c r="G410" i="17"/>
  <c r="G442" i="17"/>
  <c r="H73" i="17"/>
  <c r="H137" i="17"/>
  <c r="H201" i="17"/>
  <c r="H265" i="17"/>
  <c r="G74" i="17"/>
  <c r="G138" i="17"/>
  <c r="G202" i="17"/>
  <c r="H266" i="17"/>
  <c r="H330" i="17"/>
  <c r="H394" i="17"/>
  <c r="H458" i="17"/>
  <c r="H522" i="17"/>
  <c r="H586" i="17"/>
  <c r="G313" i="17"/>
  <c r="G377" i="17"/>
  <c r="G441" i="17"/>
  <c r="G474" i="17"/>
  <c r="G506" i="17"/>
  <c r="G538" i="17"/>
  <c r="G570" i="17"/>
  <c r="G602" i="17"/>
  <c r="H23" i="17"/>
  <c r="H87" i="17"/>
  <c r="H151" i="17"/>
  <c r="H215" i="17"/>
  <c r="G24" i="17"/>
  <c r="G88" i="17"/>
  <c r="G152" i="17"/>
  <c r="G216" i="17"/>
  <c r="H280" i="17"/>
  <c r="H344" i="17"/>
  <c r="H400" i="17"/>
  <c r="H432" i="17"/>
  <c r="H464" i="17"/>
  <c r="H496" i="17"/>
  <c r="H528" i="17"/>
  <c r="H560" i="17"/>
  <c r="H594" i="17"/>
  <c r="G287" i="17"/>
  <c r="G319" i="17"/>
  <c r="G351" i="17"/>
  <c r="G383" i="17"/>
  <c r="G415" i="17"/>
  <c r="G445" i="17"/>
  <c r="G461" i="17"/>
  <c r="G477" i="17"/>
  <c r="G493" i="17"/>
  <c r="G509" i="17"/>
  <c r="G525" i="17"/>
  <c r="G541" i="17"/>
  <c r="G557" i="17"/>
  <c r="G573" i="17"/>
  <c r="G589" i="17"/>
  <c r="G605" i="17"/>
  <c r="H603" i="17"/>
  <c r="H20" i="17"/>
  <c r="H36" i="17"/>
  <c r="H52" i="17"/>
  <c r="H68" i="17"/>
  <c r="H84" i="17"/>
  <c r="H100" i="17"/>
  <c r="H116" i="17"/>
  <c r="H132" i="17"/>
  <c r="H148" i="17"/>
  <c r="H164" i="17"/>
  <c r="H180" i="17"/>
  <c r="H196" i="17"/>
  <c r="H212" i="17"/>
  <c r="H228" i="17"/>
  <c r="H244" i="17"/>
  <c r="H260" i="17"/>
  <c r="G25" i="17"/>
  <c r="G41" i="17"/>
  <c r="G57" i="17"/>
  <c r="G73" i="17"/>
  <c r="G89" i="17"/>
  <c r="G105" i="17"/>
  <c r="G121" i="17"/>
  <c r="G137" i="17"/>
  <c r="G153" i="17"/>
  <c r="G169" i="17"/>
  <c r="G185" i="17"/>
  <c r="G201" i="17"/>
  <c r="G217" i="17"/>
  <c r="G233" i="17"/>
  <c r="G249" i="17"/>
  <c r="G265" i="17"/>
  <c r="H281" i="17"/>
  <c r="H297" i="17"/>
  <c r="H313" i="17"/>
  <c r="H329" i="17"/>
  <c r="H345" i="17"/>
  <c r="H361" i="17"/>
  <c r="H377" i="17"/>
  <c r="H393" i="17"/>
  <c r="H409" i="17"/>
  <c r="H425" i="17"/>
  <c r="H441" i="17"/>
  <c r="H457" i="17"/>
  <c r="H473" i="17"/>
  <c r="H489" i="17"/>
  <c r="H505" i="17"/>
  <c r="H521" i="17"/>
  <c r="H537" i="17"/>
  <c r="H553" i="17"/>
  <c r="H569" i="17"/>
  <c r="H585" i="17"/>
  <c r="H612" i="17"/>
  <c r="G280" i="17"/>
  <c r="G296" i="17"/>
  <c r="G312" i="17"/>
  <c r="G328" i="17"/>
  <c r="G344" i="17"/>
  <c r="G360" i="17"/>
  <c r="G376" i="17"/>
  <c r="G392" i="17"/>
  <c r="G408" i="17"/>
  <c r="G424" i="17"/>
  <c r="G440" i="17"/>
  <c r="H45" i="17"/>
  <c r="H77" i="17"/>
  <c r="H109" i="17"/>
  <c r="H141" i="17"/>
  <c r="H173" i="17"/>
  <c r="H205" i="17"/>
  <c r="H237" i="17"/>
  <c r="G14" i="17"/>
  <c r="G46" i="17"/>
  <c r="G78" i="17"/>
  <c r="G110" i="17"/>
  <c r="G142" i="17"/>
  <c r="G174" i="17"/>
  <c r="G206" i="17"/>
  <c r="G238" i="17"/>
  <c r="H270" i="17"/>
  <c r="H302" i="17"/>
  <c r="H334" i="17"/>
  <c r="H366" i="17"/>
  <c r="H398" i="17"/>
  <c r="H430" i="17"/>
  <c r="H462" i="17"/>
  <c r="H494" i="17"/>
  <c r="H526" i="17"/>
  <c r="H558" i="17"/>
  <c r="H590" i="17"/>
  <c r="G285" i="17"/>
  <c r="G317" i="17"/>
  <c r="G349" i="17"/>
  <c r="G381" i="17"/>
  <c r="G413" i="17"/>
  <c r="G444" i="17"/>
  <c r="G460" i="17"/>
  <c r="G476" i="17"/>
  <c r="G492" i="17"/>
  <c r="G508" i="17"/>
  <c r="G524" i="17"/>
  <c r="G540" i="17"/>
  <c r="G556" i="17"/>
  <c r="G572" i="17"/>
  <c r="G592" i="17"/>
  <c r="H609" i="17"/>
  <c r="H67" i="17"/>
  <c r="H131" i="17"/>
  <c r="H195" i="17"/>
  <c r="H259" i="17"/>
  <c r="G68" i="17"/>
  <c r="G132" i="17"/>
  <c r="G196" i="17"/>
  <c r="G260" i="17"/>
  <c r="H324" i="17"/>
  <c r="H388" i="17"/>
  <c r="H452" i="17"/>
  <c r="H516" i="17"/>
  <c r="H580" i="17"/>
  <c r="G307" i="17"/>
  <c r="G371" i="17"/>
  <c r="G435" i="17"/>
  <c r="G471" i="17"/>
  <c r="G503" i="17"/>
  <c r="G535" i="17"/>
  <c r="G567" i="17"/>
  <c r="G599" i="17"/>
  <c r="G588" i="17"/>
  <c r="H602" i="17"/>
  <c r="H75" i="17"/>
  <c r="H139" i="17"/>
  <c r="H203" i="17"/>
  <c r="G626" i="17"/>
  <c r="G76" i="17"/>
  <c r="G140" i="17"/>
  <c r="G204" i="17"/>
  <c r="H268" i="17"/>
  <c r="H332" i="17"/>
  <c r="H396" i="17"/>
  <c r="H460" i="17"/>
  <c r="H524" i="17"/>
  <c r="H588" i="17"/>
  <c r="G315" i="17"/>
  <c r="G379" i="17"/>
  <c r="G443" i="17"/>
  <c r="G475" i="17"/>
  <c r="G507" i="17"/>
  <c r="G539" i="17"/>
  <c r="G571" i="17"/>
  <c r="G603" i="17"/>
  <c r="H384" i="17"/>
  <c r="H352" i="17"/>
  <c r="H320" i="17"/>
  <c r="H288" i="17"/>
  <c r="G256" i="17"/>
  <c r="G224" i="17"/>
  <c r="G192" i="17"/>
  <c r="G160" i="17"/>
  <c r="G128" i="17"/>
  <c r="G96" i="17"/>
  <c r="G64" i="17"/>
  <c r="G32" i="17"/>
  <c r="H255" i="17"/>
  <c r="H223" i="17"/>
  <c r="H191" i="17"/>
  <c r="H159" i="17"/>
  <c r="H127" i="17"/>
  <c r="H95" i="17"/>
  <c r="H63" i="17"/>
  <c r="H31" i="17"/>
  <c r="H605" i="17"/>
  <c r="G606" i="17"/>
  <c r="G590" i="17"/>
  <c r="G574" i="17"/>
  <c r="G558" i="17"/>
  <c r="G542" i="17"/>
  <c r="G526" i="17"/>
  <c r="G510" i="17"/>
  <c r="G494" i="17"/>
  <c r="G478" i="17"/>
  <c r="G462" i="17"/>
  <c r="G446" i="17"/>
  <c r="G417" i="17"/>
  <c r="G385" i="17"/>
  <c r="G353" i="17"/>
  <c r="G321" i="17"/>
  <c r="G289" i="17"/>
  <c r="H598" i="17"/>
  <c r="H562" i="17"/>
  <c r="H530" i="17"/>
  <c r="H498" i="17"/>
  <c r="H466" i="17"/>
  <c r="H434" i="17"/>
  <c r="H402" i="17"/>
  <c r="H370" i="17"/>
  <c r="H338" i="17"/>
  <c r="H306" i="17"/>
  <c r="H274" i="17"/>
  <c r="G242" i="17"/>
  <c r="G210" i="17"/>
  <c r="G178" i="17"/>
  <c r="G146" i="17"/>
  <c r="G114" i="17"/>
  <c r="G82" i="17"/>
  <c r="G50" i="17"/>
  <c r="G18" i="17"/>
  <c r="H241" i="17"/>
  <c r="H209" i="17"/>
  <c r="H177" i="17"/>
  <c r="H145" i="17"/>
  <c r="H113" i="17"/>
  <c r="H81" i="17"/>
  <c r="H49" i="17"/>
  <c r="H17" i="17"/>
  <c r="G430" i="17"/>
  <c r="G414" i="17"/>
  <c r="G398" i="17"/>
  <c r="G382" i="17"/>
  <c r="G366" i="17"/>
  <c r="G350" i="17"/>
  <c r="G334" i="17"/>
  <c r="G318" i="17"/>
  <c r="G302" i="17"/>
  <c r="G286" i="17"/>
  <c r="G270" i="17"/>
  <c r="H592" i="17"/>
  <c r="H575" i="17"/>
  <c r="H559" i="17"/>
  <c r="H543" i="17"/>
  <c r="H527" i="17"/>
  <c r="H511" i="17"/>
  <c r="H495" i="17"/>
  <c r="H479" i="17"/>
  <c r="H463" i="17"/>
  <c r="H447" i="17"/>
  <c r="H431" i="17"/>
  <c r="H415" i="17"/>
  <c r="H399" i="17"/>
  <c r="H383" i="17"/>
  <c r="H367" i="17"/>
  <c r="H351" i="17"/>
  <c r="H335" i="17"/>
  <c r="H319" i="17"/>
  <c r="H303" i="17"/>
  <c r="H287" i="17"/>
  <c r="H271" i="17"/>
  <c r="G255" i="17"/>
  <c r="G239" i="17"/>
  <c r="G223" i="17"/>
  <c r="G207" i="17"/>
  <c r="G191" i="17"/>
  <c r="G175" i="17"/>
  <c r="G159" i="17"/>
  <c r="G143" i="17"/>
  <c r="G127" i="17"/>
  <c r="G111" i="17"/>
  <c r="G95" i="17"/>
  <c r="G79" i="17"/>
  <c r="G63" i="17"/>
  <c r="G47" i="17"/>
  <c r="G31" i="17"/>
  <c r="G15" i="17"/>
  <c r="H250" i="17"/>
  <c r="H234" i="17"/>
  <c r="H218" i="17"/>
  <c r="H202" i="17"/>
  <c r="H186" i="17"/>
  <c r="H170" i="17"/>
  <c r="H154" i="17"/>
  <c r="H122" i="17"/>
  <c r="H90" i="17"/>
  <c r="H58" i="17"/>
  <c r="H26" i="17"/>
  <c r="H94" i="17"/>
  <c r="H222" i="17"/>
  <c r="H110" i="17"/>
  <c r="G83" i="17"/>
  <c r="G211" i="17"/>
  <c r="H339" i="17"/>
  <c r="H467" i="17"/>
  <c r="H599" i="17"/>
  <c r="G386" i="17"/>
  <c r="H153" i="17"/>
  <c r="G154" i="17"/>
  <c r="H410" i="17"/>
  <c r="G329" i="17"/>
  <c r="G514" i="17"/>
  <c r="H39" i="17"/>
  <c r="G40" i="17"/>
  <c r="H296" i="17"/>
  <c r="H472" i="17"/>
  <c r="H610" i="17"/>
  <c r="G391" i="17"/>
  <c r="G481" i="17"/>
  <c r="G545" i="17"/>
  <c r="G609" i="17"/>
  <c r="H56" i="17"/>
  <c r="H120" i="17"/>
  <c r="H184" i="17"/>
  <c r="H248" i="17"/>
  <c r="G61" i="17"/>
  <c r="G125" i="17"/>
  <c r="G189" i="17"/>
  <c r="G253" i="17"/>
  <c r="H317" i="17"/>
  <c r="H381" i="17"/>
  <c r="H445" i="17"/>
  <c r="H509" i="17"/>
  <c r="H573" i="17"/>
  <c r="G300" i="17"/>
  <c r="G364" i="17"/>
  <c r="G428" i="17"/>
  <c r="H117" i="17"/>
  <c r="H245" i="17"/>
  <c r="G118" i="17"/>
  <c r="G246" i="17"/>
  <c r="H374" i="17"/>
  <c r="H502" i="17"/>
  <c r="G293" i="17"/>
  <c r="G421" i="17"/>
  <c r="G496" i="17"/>
  <c r="G560" i="17"/>
  <c r="H83" i="17"/>
  <c r="G84" i="17"/>
  <c r="H340" i="17"/>
  <c r="H601" i="17"/>
  <c r="G479" i="17"/>
  <c r="G607" i="17"/>
  <c r="H155" i="17"/>
  <c r="G156" i="17"/>
  <c r="H412" i="17"/>
  <c r="G331" i="17"/>
  <c r="G515" i="17"/>
  <c r="H14" i="17"/>
  <c r="G131" i="17"/>
  <c r="H387" i="17"/>
  <c r="G306" i="17"/>
  <c r="H249" i="17"/>
  <c r="H506" i="17"/>
  <c r="G562" i="17"/>
  <c r="G136" i="17"/>
  <c r="H520" i="17"/>
  <c r="G439" i="17"/>
  <c r="G569" i="17"/>
  <c r="H80" i="17"/>
  <c r="H208" i="17"/>
  <c r="G85" i="17"/>
  <c r="G213" i="17"/>
  <c r="H341" i="17"/>
  <c r="H469" i="17"/>
  <c r="H604" i="17"/>
  <c r="G388" i="17"/>
  <c r="H165" i="17"/>
  <c r="G166" i="17"/>
  <c r="H422" i="17"/>
  <c r="G341" i="17"/>
  <c r="G520" i="17"/>
  <c r="H179" i="17"/>
  <c r="H436" i="17"/>
  <c r="G527" i="17"/>
  <c r="H251" i="17"/>
  <c r="H508" i="17"/>
  <c r="G563" i="17"/>
  <c r="H355" i="17"/>
  <c r="H185" i="17"/>
  <c r="G530" i="17"/>
  <c r="H488" i="17"/>
  <c r="G553" i="17"/>
  <c r="H192" i="17"/>
  <c r="G197" i="17"/>
  <c r="H453" i="17"/>
  <c r="G372" i="17"/>
  <c r="G134" i="17"/>
  <c r="G309" i="17"/>
  <c r="H115" i="17"/>
  <c r="G495" i="17"/>
  <c r="H444" i="17"/>
  <c r="H291" i="17"/>
  <c r="G466" i="17"/>
  <c r="G521" i="17"/>
  <c r="G165" i="17"/>
  <c r="G340" i="17"/>
  <c r="H582" i="17"/>
  <c r="G419" i="17"/>
  <c r="G163" i="17"/>
  <c r="G457" i="17"/>
  <c r="G276" i="17"/>
  <c r="H500" i="17"/>
  <c r="H552" i="17"/>
  <c r="H243" i="17"/>
  <c r="G373" i="17"/>
  <c r="B279" i="2"/>
  <c r="B295" i="2" s="1"/>
  <c r="B150" i="2"/>
  <c r="L102" i="2"/>
  <c r="B116" i="2"/>
  <c r="B103" i="2"/>
  <c r="B117" i="2" s="1"/>
  <c r="L103" i="2"/>
  <c r="P103" i="2" s="1"/>
  <c r="B90" i="2"/>
  <c r="E21" i="1" s="1"/>
  <c r="B161" i="2"/>
  <c r="B91" i="2"/>
  <c r="E22" i="1" s="1"/>
  <c r="K103" i="2"/>
  <c r="K102" i="2"/>
  <c r="F90" i="2"/>
  <c r="F91" i="2"/>
  <c r="B88" i="2"/>
  <c r="H78" i="2"/>
  <c r="E15" i="1"/>
  <c r="X35" i="20" l="1"/>
  <c r="Y35" i="20" s="1"/>
  <c r="Z35" i="20" s="1"/>
  <c r="B319" i="2"/>
  <c r="B80" i="1" s="1"/>
  <c r="U35" i="20"/>
  <c r="V35" i="20" s="1"/>
  <c r="W35" i="20" s="1"/>
  <c r="AH35" i="20"/>
  <c r="S35" i="20"/>
  <c r="AD35" i="20"/>
  <c r="AA35" i="20"/>
  <c r="AB35" i="20" s="1"/>
  <c r="AD48" i="20"/>
  <c r="AJ35" i="20"/>
  <c r="AK35" i="20" s="1"/>
  <c r="AN35" i="20" s="1"/>
  <c r="AR60" i="20"/>
  <c r="Q48" i="20"/>
  <c r="AS48" i="20" s="1"/>
  <c r="AF35" i="20"/>
  <c r="Q35" i="20"/>
  <c r="AS35" i="20" s="1"/>
  <c r="AQ35" i="20"/>
  <c r="AR35" i="20" s="1"/>
  <c r="AE159" i="20"/>
  <c r="AD43" i="20"/>
  <c r="AO32" i="20"/>
  <c r="AP32" i="20" s="1"/>
  <c r="AR32" i="20" s="1"/>
  <c r="Q32" i="20"/>
  <c r="AS32" i="20" s="1"/>
  <c r="AC32" i="20"/>
  <c r="AJ32" i="20"/>
  <c r="AK32" i="20" s="1"/>
  <c r="AN32" i="20" s="1"/>
  <c r="AA32" i="20"/>
  <c r="AB32" i="20" s="1"/>
  <c r="X43" i="20"/>
  <c r="Y43" i="20" s="1"/>
  <c r="Z43" i="20" s="1"/>
  <c r="AM15" i="20"/>
  <c r="U15" i="20"/>
  <c r="V15" i="20" s="1"/>
  <c r="W15" i="20" s="1"/>
  <c r="AR63" i="20"/>
  <c r="AF43" i="20"/>
  <c r="AG43" i="20" s="1"/>
  <c r="AH43" i="20"/>
  <c r="AD47" i="20"/>
  <c r="AE47" i="20" s="1"/>
  <c r="AO24" i="20"/>
  <c r="AP24" i="20" s="1"/>
  <c r="AQ36" i="20"/>
  <c r="AG167" i="20"/>
  <c r="AI167" i="20" s="1"/>
  <c r="BK167" i="20" s="1"/>
  <c r="AN59" i="20"/>
  <c r="AN64" i="20"/>
  <c r="AF47" i="20"/>
  <c r="AG47" i="20" s="1"/>
  <c r="AO43" i="20"/>
  <c r="AP43" i="20" s="1"/>
  <c r="AR43" i="20" s="1"/>
  <c r="AJ28" i="20"/>
  <c r="AK28" i="20" s="1"/>
  <c r="AQ47" i="20"/>
  <c r="X24" i="20"/>
  <c r="Y24" i="20" s="1"/>
  <c r="Z24" i="20" s="1"/>
  <c r="AA15" i="20"/>
  <c r="AB15" i="20" s="1"/>
  <c r="AE15" i="20" s="1"/>
  <c r="AJ43" i="20"/>
  <c r="AK43" i="20" s="1"/>
  <c r="Q43" i="20"/>
  <c r="AS43" i="20" s="1"/>
  <c r="S43" i="20"/>
  <c r="AJ47" i="20"/>
  <c r="AK47" i="20" s="1"/>
  <c r="AA43" i="20"/>
  <c r="AB43" i="20" s="1"/>
  <c r="AM47" i="20"/>
  <c r="AE191" i="20"/>
  <c r="BE191" i="20" s="1"/>
  <c r="Q24" i="20"/>
  <c r="AS24" i="20" s="1"/>
  <c r="U43" i="20"/>
  <c r="V43" i="20" s="1"/>
  <c r="W43" i="20" s="1"/>
  <c r="AO15" i="20"/>
  <c r="AP15" i="20" s="1"/>
  <c r="AM43" i="20"/>
  <c r="AO47" i="20"/>
  <c r="AP47" i="20" s="1"/>
  <c r="AM28" i="20"/>
  <c r="AN28" i="20" s="1"/>
  <c r="AM24" i="20"/>
  <c r="AN24" i="20" s="1"/>
  <c r="AJ23" i="20"/>
  <c r="AK23" i="20" s="1"/>
  <c r="AQ62" i="20"/>
  <c r="AA48" i="20"/>
  <c r="AB48" i="20" s="1"/>
  <c r="AE48" i="20" s="1"/>
  <c r="U47" i="20"/>
  <c r="V47" i="20" s="1"/>
  <c r="W47" i="20" s="1"/>
  <c r="S47" i="20"/>
  <c r="Q47" i="20"/>
  <c r="AS47" i="20" s="1"/>
  <c r="X47" i="20"/>
  <c r="Y47" i="20" s="1"/>
  <c r="Z47" i="20" s="1"/>
  <c r="S48" i="20"/>
  <c r="AF48" i="20"/>
  <c r="AG48" i="20" s="1"/>
  <c r="AH47" i="20"/>
  <c r="AO48" i="20"/>
  <c r="AP48" i="20" s="1"/>
  <c r="AR48" i="20" s="1"/>
  <c r="AQ28" i="20"/>
  <c r="AA24" i="20"/>
  <c r="AB24" i="20" s="1"/>
  <c r="AE24" i="20" s="1"/>
  <c r="U24" i="20"/>
  <c r="V24" i="20" s="1"/>
  <c r="W24" i="20" s="1"/>
  <c r="S24" i="20"/>
  <c r="X15" i="20"/>
  <c r="Y15" i="20" s="1"/>
  <c r="Z15" i="20" s="1"/>
  <c r="AJ62" i="20"/>
  <c r="AK62" i="20" s="1"/>
  <c r="AN62" i="20" s="1"/>
  <c r="U48" i="20"/>
  <c r="V48" i="20" s="1"/>
  <c r="W48" i="20" s="1"/>
  <c r="AH48" i="20"/>
  <c r="X48" i="20"/>
  <c r="Y48" i="20" s="1"/>
  <c r="Z48" i="20" s="1"/>
  <c r="AM48" i="20"/>
  <c r="AN48" i="20" s="1"/>
  <c r="AQ24" i="20"/>
  <c r="AV24" i="20"/>
  <c r="BL24" i="20" s="1"/>
  <c r="AQ11" i="20"/>
  <c r="AM11" i="20"/>
  <c r="U11" i="20"/>
  <c r="V11" i="20" s="1"/>
  <c r="W11" i="20" s="1"/>
  <c r="AI173" i="20"/>
  <c r="BF173" i="20" s="1"/>
  <c r="AJ36" i="20"/>
  <c r="AK36" i="20" s="1"/>
  <c r="AH17" i="20"/>
  <c r="X109" i="20"/>
  <c r="Y109" i="20" s="1"/>
  <c r="Z109" i="20" s="1"/>
  <c r="AF109" i="20"/>
  <c r="AG109" i="20" s="1"/>
  <c r="AJ11" i="20"/>
  <c r="AK11" i="20" s="1"/>
  <c r="AO11" i="20"/>
  <c r="AP11" i="20" s="1"/>
  <c r="S11" i="20"/>
  <c r="X77" i="20"/>
  <c r="Y77" i="20" s="1"/>
  <c r="Z77" i="20" s="1"/>
  <c r="S77" i="20"/>
  <c r="S109" i="20"/>
  <c r="AF105" i="20"/>
  <c r="AG105" i="20" s="1"/>
  <c r="AA73" i="20"/>
  <c r="AB73" i="20" s="1"/>
  <c r="Q77" i="20"/>
  <c r="AS77" i="20" s="1"/>
  <c r="AA11" i="20"/>
  <c r="AB11" i="20" s="1"/>
  <c r="AE11" i="20" s="1"/>
  <c r="AV191" i="20"/>
  <c r="BL191" i="20" s="1"/>
  <c r="AR162" i="20"/>
  <c r="AO77" i="20"/>
  <c r="AP77" i="20" s="1"/>
  <c r="AR77" i="20" s="1"/>
  <c r="AS196" i="20"/>
  <c r="AV146" i="20"/>
  <c r="BL146" i="20" s="1"/>
  <c r="AR192" i="20"/>
  <c r="AR55" i="20"/>
  <c r="X11" i="20"/>
  <c r="Y11" i="20" s="1"/>
  <c r="Z11" i="20" s="1"/>
  <c r="AR134" i="20"/>
  <c r="AR158" i="20"/>
  <c r="AS179" i="20"/>
  <c r="AE151" i="20"/>
  <c r="Q11" i="20"/>
  <c r="AS11" i="20" s="1"/>
  <c r="AR103" i="20"/>
  <c r="AH23" i="20"/>
  <c r="AH15" i="20"/>
  <c r="AQ15" i="20"/>
  <c r="AF15" i="20"/>
  <c r="AG15" i="20" s="1"/>
  <c r="S15" i="20"/>
  <c r="AJ15" i="20"/>
  <c r="AK15" i="20" s="1"/>
  <c r="Q15" i="20"/>
  <c r="AS15" i="20" s="1"/>
  <c r="S12" i="20"/>
  <c r="AN139" i="20"/>
  <c r="AE179" i="20"/>
  <c r="BE179" i="20" s="1"/>
  <c r="S16" i="20"/>
  <c r="AH31" i="20"/>
  <c r="AS152" i="20"/>
  <c r="AD73" i="20"/>
  <c r="AF90" i="20"/>
  <c r="AV90" i="20" s="1"/>
  <c r="BL90" i="20" s="1"/>
  <c r="AR87" i="20"/>
  <c r="AE172" i="20"/>
  <c r="S17" i="20"/>
  <c r="AG87" i="20"/>
  <c r="AI87" i="20" s="1"/>
  <c r="BF87" i="20" s="1"/>
  <c r="U73" i="20"/>
  <c r="V73" i="20" s="1"/>
  <c r="W73" i="20" s="1"/>
  <c r="U105" i="20"/>
  <c r="V105" i="20" s="1"/>
  <c r="W105" i="20" s="1"/>
  <c r="U90" i="20"/>
  <c r="V90" i="20" s="1"/>
  <c r="W90" i="20" s="1"/>
  <c r="S105" i="20"/>
  <c r="AA77" i="20"/>
  <c r="AB77" i="20" s="1"/>
  <c r="AO16" i="20"/>
  <c r="AP16" i="20" s="1"/>
  <c r="AI151" i="20"/>
  <c r="BF151" i="20" s="1"/>
  <c r="T152" i="20"/>
  <c r="BI152" i="20" s="1"/>
  <c r="AM16" i="20"/>
  <c r="R75" i="20"/>
  <c r="T75" i="20" s="1"/>
  <c r="BI75" i="20" s="1"/>
  <c r="AA36" i="20"/>
  <c r="AB36" i="20" s="1"/>
  <c r="AF16" i="20"/>
  <c r="AG16" i="20" s="1"/>
  <c r="AD36" i="20"/>
  <c r="U36" i="20"/>
  <c r="V36" i="20" s="1"/>
  <c r="W36" i="20" s="1"/>
  <c r="X16" i="20"/>
  <c r="Y16" i="20" s="1"/>
  <c r="Z16" i="20" s="1"/>
  <c r="AD37" i="20"/>
  <c r="U16" i="20"/>
  <c r="V16" i="20" s="1"/>
  <c r="W16" i="20" s="1"/>
  <c r="X39" i="20"/>
  <c r="Y39" i="20" s="1"/>
  <c r="Z39" i="20" s="1"/>
  <c r="Q20" i="20"/>
  <c r="AS20" i="20" s="1"/>
  <c r="T103" i="20"/>
  <c r="BI103" i="20" s="1"/>
  <c r="AH36" i="20"/>
  <c r="AI36" i="20" s="1"/>
  <c r="BK36" i="20" s="1"/>
  <c r="U39" i="20"/>
  <c r="V39" i="20" s="1"/>
  <c r="W39" i="20" s="1"/>
  <c r="AQ16" i="20"/>
  <c r="S36" i="20"/>
  <c r="U28" i="20"/>
  <c r="V28" i="20" s="1"/>
  <c r="W28" i="20" s="1"/>
  <c r="AA28" i="20"/>
  <c r="AB28" i="20" s="1"/>
  <c r="S23" i="20"/>
  <c r="AF23" i="20"/>
  <c r="AG23" i="20" s="1"/>
  <c r="Q16" i="20"/>
  <c r="AS16" i="20" s="1"/>
  <c r="S28" i="20"/>
  <c r="AF19" i="20"/>
  <c r="AG19" i="20" s="1"/>
  <c r="AO28" i="20"/>
  <c r="AP28" i="20" s="1"/>
  <c r="AD39" i="20"/>
  <c r="U12" i="20"/>
  <c r="V12" i="20" s="1"/>
  <c r="W12" i="20" s="1"/>
  <c r="R64" i="20"/>
  <c r="T64" i="20" s="1"/>
  <c r="BI64" i="20" s="1"/>
  <c r="AH33" i="20"/>
  <c r="AH16" i="20"/>
  <c r="AA16" i="20"/>
  <c r="AB16" i="20" s="1"/>
  <c r="AE16" i="20" s="1"/>
  <c r="X23" i="20"/>
  <c r="Y23" i="20" s="1"/>
  <c r="Z23" i="20" s="1"/>
  <c r="AV196" i="20"/>
  <c r="BL196" i="20" s="1"/>
  <c r="AI20" i="20"/>
  <c r="AE181" i="20"/>
  <c r="BE181" i="20" s="1"/>
  <c r="T179" i="20"/>
  <c r="BI179" i="20" s="1"/>
  <c r="B270" i="2"/>
  <c r="J79" i="1" s="1"/>
  <c r="AH12" i="20"/>
  <c r="AI12" i="20" s="1"/>
  <c r="AD12" i="20"/>
  <c r="AF28" i="20"/>
  <c r="AG28" i="20" s="1"/>
  <c r="AD28" i="20"/>
  <c r="AH28" i="20"/>
  <c r="B121" i="2"/>
  <c r="E27" i="1" s="1"/>
  <c r="R95" i="20"/>
  <c r="T95" i="20" s="1"/>
  <c r="AH19" i="20"/>
  <c r="AH13" i="20"/>
  <c r="S93" i="20"/>
  <c r="AH94" i="20"/>
  <c r="Q89" i="20"/>
  <c r="AS89" i="20" s="1"/>
  <c r="Q28" i="20"/>
  <c r="AS28" i="20" s="1"/>
  <c r="AE103" i="20"/>
  <c r="BE103" i="20" s="1"/>
  <c r="AI191" i="20"/>
  <c r="BF191" i="20" s="1"/>
  <c r="AR70" i="21"/>
  <c r="BL70" i="21" s="1"/>
  <c r="BF70" i="21" s="1"/>
  <c r="AE196" i="20"/>
  <c r="R96" i="20"/>
  <c r="T96" i="20" s="1"/>
  <c r="BI96" i="20" s="1"/>
  <c r="AQ12" i="20"/>
  <c r="AR12" i="20" s="1"/>
  <c r="AE76" i="20"/>
  <c r="AA39" i="20"/>
  <c r="AB39" i="20" s="1"/>
  <c r="AI179" i="20"/>
  <c r="BF179" i="20" s="1"/>
  <c r="R80" i="20"/>
  <c r="T80" i="20" s="1"/>
  <c r="BI80" i="20" s="1"/>
  <c r="T173" i="20"/>
  <c r="BI173" i="20" s="1"/>
  <c r="AI80" i="20"/>
  <c r="BK80" i="20" s="1"/>
  <c r="AR206" i="20"/>
  <c r="AI32" i="20"/>
  <c r="BK32" i="20" s="1"/>
  <c r="AE167" i="20"/>
  <c r="BE167" i="20" s="1"/>
  <c r="B181" i="2"/>
  <c r="E55" i="1" s="1"/>
  <c r="R100" i="20"/>
  <c r="T100" i="20" s="1"/>
  <c r="BI100" i="20" s="1"/>
  <c r="B86" i="2"/>
  <c r="E30" i="1" s="1"/>
  <c r="X10" i="20"/>
  <c r="Y10" i="20" s="1"/>
  <c r="Z10" i="20" s="1"/>
  <c r="U19" i="20"/>
  <c r="V19" i="20" s="1"/>
  <c r="W19" i="20" s="1"/>
  <c r="S39" i="20"/>
  <c r="AJ39" i="20"/>
  <c r="AK39" i="20" s="1"/>
  <c r="AN39" i="20" s="1"/>
  <c r="AQ44" i="20"/>
  <c r="AA19" i="20"/>
  <c r="AB19" i="20" s="1"/>
  <c r="AE19" i="20" s="1"/>
  <c r="AR59" i="20"/>
  <c r="U62" i="20"/>
  <c r="V62" i="20" s="1"/>
  <c r="W62" i="20" s="1"/>
  <c r="AA93" i="20"/>
  <c r="AB93" i="20" s="1"/>
  <c r="AQ39" i="20"/>
  <c r="AR203" i="20"/>
  <c r="AR201" i="20"/>
  <c r="AR194" i="20"/>
  <c r="AE173" i="20"/>
  <c r="S94" i="20"/>
  <c r="X74" i="20"/>
  <c r="Y74" i="20" s="1"/>
  <c r="Z74" i="20" s="1"/>
  <c r="X93" i="20"/>
  <c r="Y93" i="20" s="1"/>
  <c r="Z93" i="20" s="1"/>
  <c r="AD74" i="20"/>
  <c r="Q62" i="20"/>
  <c r="AS62" i="20" s="1"/>
  <c r="AO62" i="20"/>
  <c r="AP62" i="20" s="1"/>
  <c r="AR166" i="20"/>
  <c r="AR161" i="20"/>
  <c r="AR208" i="20"/>
  <c r="AE204" i="20"/>
  <c r="BE204" i="20" s="1"/>
  <c r="AM19" i="20"/>
  <c r="AA62" i="20"/>
  <c r="AB62" i="20" s="1"/>
  <c r="AE160" i="20"/>
  <c r="AS181" i="20"/>
  <c r="AR163" i="20"/>
  <c r="AR139" i="20"/>
  <c r="AR181" i="20"/>
  <c r="X19" i="20"/>
  <c r="Y19" i="20" s="1"/>
  <c r="Z19" i="20" s="1"/>
  <c r="X13" i="20"/>
  <c r="Y13" i="20" s="1"/>
  <c r="Z13" i="20" s="1"/>
  <c r="X89" i="20"/>
  <c r="Y89" i="20" s="1"/>
  <c r="Z89" i="20" s="1"/>
  <c r="AD93" i="20"/>
  <c r="AJ19" i="20"/>
  <c r="AK19" i="20" s="1"/>
  <c r="Q19" i="20"/>
  <c r="AS19" i="20" s="1"/>
  <c r="S19" i="20"/>
  <c r="AH88" i="20"/>
  <c r="AH89" i="20"/>
  <c r="X106" i="20"/>
  <c r="Y106" i="20" s="1"/>
  <c r="Z106" i="20" s="1"/>
  <c r="R68" i="20"/>
  <c r="T68" i="20" s="1"/>
  <c r="BI68" i="20" s="1"/>
  <c r="X62" i="20"/>
  <c r="Y62" i="20" s="1"/>
  <c r="Z62" i="20" s="1"/>
  <c r="AO19" i="20"/>
  <c r="AP19" i="20" s="1"/>
  <c r="Q93" i="20"/>
  <c r="AS93" i="20" s="1"/>
  <c r="AQ19" i="20"/>
  <c r="AR187" i="20"/>
  <c r="AI83" i="20"/>
  <c r="BK83" i="20" s="1"/>
  <c r="AA107" i="20"/>
  <c r="AB107" i="20" s="1"/>
  <c r="AR191" i="20"/>
  <c r="R206" i="20"/>
  <c r="T206" i="20" s="1"/>
  <c r="BI206" i="20" s="1"/>
  <c r="AE206" i="20"/>
  <c r="AR40" i="20"/>
  <c r="AN167" i="20"/>
  <c r="AR22" i="21"/>
  <c r="AN179" i="20"/>
  <c r="T47" i="21"/>
  <c r="BI47" i="21" s="1"/>
  <c r="R84" i="20"/>
  <c r="T84" i="20" s="1"/>
  <c r="BI84" i="20" s="1"/>
  <c r="AM10" i="20"/>
  <c r="S82" i="20"/>
  <c r="AD70" i="20"/>
  <c r="X104" i="20"/>
  <c r="Y104" i="20" s="1"/>
  <c r="Z104" i="20" s="1"/>
  <c r="AH104" i="20"/>
  <c r="U52" i="20"/>
  <c r="V52" i="20" s="1"/>
  <c r="W52" i="20" s="1"/>
  <c r="AH44" i="20"/>
  <c r="AD82" i="20"/>
  <c r="AO14" i="20"/>
  <c r="AP14" i="20" s="1"/>
  <c r="AR117" i="20"/>
  <c r="AR150" i="20"/>
  <c r="AR142" i="20"/>
  <c r="AR129" i="20"/>
  <c r="AV176" i="20"/>
  <c r="BL176" i="20" s="1"/>
  <c r="AG206" i="20"/>
  <c r="AI206" i="20" s="1"/>
  <c r="BK206" i="20" s="1"/>
  <c r="AR169" i="20"/>
  <c r="AR147" i="20"/>
  <c r="AR137" i="20"/>
  <c r="AR122" i="20"/>
  <c r="AR113" i="20"/>
  <c r="AG204" i="20"/>
  <c r="AI204" i="20" s="1"/>
  <c r="BF204" i="20" s="1"/>
  <c r="AE80" i="20"/>
  <c r="BE80" i="20" s="1"/>
  <c r="AI96" i="20"/>
  <c r="BK96" i="20" s="1"/>
  <c r="AD23" i="20"/>
  <c r="U23" i="20"/>
  <c r="V23" i="20" s="1"/>
  <c r="W23" i="20" s="1"/>
  <c r="AO97" i="20"/>
  <c r="AP97" i="20" s="1"/>
  <c r="AF97" i="20"/>
  <c r="AV97" i="20" s="1"/>
  <c r="BL97" i="20" s="1"/>
  <c r="AD97" i="20"/>
  <c r="AH97" i="20"/>
  <c r="S97" i="20"/>
  <c r="AM81" i="20"/>
  <c r="S81" i="20"/>
  <c r="AA102" i="20"/>
  <c r="AB102" i="20" s="1"/>
  <c r="AF102" i="20"/>
  <c r="AG102" i="20" s="1"/>
  <c r="AD102" i="20"/>
  <c r="AJ86" i="20"/>
  <c r="AK86" i="20" s="1"/>
  <c r="AO86" i="20"/>
  <c r="AP86" i="20" s="1"/>
  <c r="AF86" i="20"/>
  <c r="AG86" i="20" s="1"/>
  <c r="AA86" i="20"/>
  <c r="AB86" i="20" s="1"/>
  <c r="AD86" i="20"/>
  <c r="AM44" i="20"/>
  <c r="X44" i="20"/>
  <c r="Y44" i="20" s="1"/>
  <c r="Z44" i="20" s="1"/>
  <c r="Q52" i="20"/>
  <c r="AS52" i="20" s="1"/>
  <c r="AO52" i="20"/>
  <c r="AP52" i="20" s="1"/>
  <c r="S52" i="20"/>
  <c r="AM101" i="20"/>
  <c r="Q101" i="20"/>
  <c r="AS101" i="20" s="1"/>
  <c r="AM85" i="20"/>
  <c r="AN85" i="20" s="1"/>
  <c r="AF85" i="20"/>
  <c r="AV85" i="20" s="1"/>
  <c r="BL85" i="20" s="1"/>
  <c r="AM69" i="20"/>
  <c r="AF69" i="20"/>
  <c r="AG69" i="20" s="1"/>
  <c r="AM98" i="20"/>
  <c r="AF98" i="20"/>
  <c r="AV98" i="20" s="1"/>
  <c r="BL98" i="20" s="1"/>
  <c r="S98" i="20"/>
  <c r="AI152" i="20"/>
  <c r="BK152" i="20" s="1"/>
  <c r="B163" i="2"/>
  <c r="E46" i="1" s="1"/>
  <c r="S10" i="20"/>
  <c r="AM23" i="20"/>
  <c r="AM14" i="20"/>
  <c r="AH86" i="20"/>
  <c r="X52" i="20"/>
  <c r="Y52" i="20" s="1"/>
  <c r="Z52" i="20" s="1"/>
  <c r="X70" i="20"/>
  <c r="Y70" i="20" s="1"/>
  <c r="Z70" i="20" s="1"/>
  <c r="U102" i="20"/>
  <c r="V102" i="20" s="1"/>
  <c r="W102" i="20" s="1"/>
  <c r="U104" i="20"/>
  <c r="V104" i="20" s="1"/>
  <c r="W104" i="20" s="1"/>
  <c r="AH81" i="20"/>
  <c r="U10" i="20"/>
  <c r="V10" i="20" s="1"/>
  <c r="W10" i="20" s="1"/>
  <c r="AD104" i="20"/>
  <c r="AD52" i="20"/>
  <c r="S104" i="20"/>
  <c r="AG64" i="20"/>
  <c r="AI64" i="20" s="1"/>
  <c r="BF64" i="20" s="1"/>
  <c r="AV96" i="20"/>
  <c r="BL96" i="20" s="1"/>
  <c r="S101" i="20"/>
  <c r="AA97" i="20"/>
  <c r="AB97" i="20" s="1"/>
  <c r="AO10" i="20"/>
  <c r="AP10" i="20" s="1"/>
  <c r="Q102" i="20"/>
  <c r="AS102" i="20" s="1"/>
  <c r="AO102" i="20"/>
  <c r="AP102" i="20" s="1"/>
  <c r="AG139" i="20"/>
  <c r="AI139" i="20" s="1"/>
  <c r="BF139" i="20" s="1"/>
  <c r="AG159" i="20"/>
  <c r="AI159" i="20" s="1"/>
  <c r="BK159" i="20" s="1"/>
  <c r="AV152" i="20"/>
  <c r="BL152" i="20" s="1"/>
  <c r="AO36" i="20"/>
  <c r="AP36" i="20" s="1"/>
  <c r="AM36" i="20"/>
  <c r="X36" i="20"/>
  <c r="Y36" i="20" s="1"/>
  <c r="Z36" i="20" s="1"/>
  <c r="Q36" i="20"/>
  <c r="AS36" i="20" s="1"/>
  <c r="AE71" i="20"/>
  <c r="AE108" i="20"/>
  <c r="BE108" i="20" s="1"/>
  <c r="AR199" i="20"/>
  <c r="T191" i="20"/>
  <c r="BI191" i="20" s="1"/>
  <c r="AR182" i="20"/>
  <c r="T196" i="20"/>
  <c r="BI196" i="20" s="1"/>
  <c r="AR121" i="20"/>
  <c r="AR114" i="20"/>
  <c r="AR135" i="20"/>
  <c r="AR128" i="20"/>
  <c r="AR127" i="20"/>
  <c r="AR136" i="20"/>
  <c r="AR120" i="20"/>
  <c r="AR178" i="20"/>
  <c r="AR132" i="20"/>
  <c r="AR149" i="20"/>
  <c r="AR125" i="20"/>
  <c r="AR184" i="20"/>
  <c r="AR176" i="20"/>
  <c r="AN106" i="20"/>
  <c r="AN90" i="20"/>
  <c r="AN110" i="20"/>
  <c r="AN117" i="20"/>
  <c r="AN140" i="20"/>
  <c r="AN103" i="20"/>
  <c r="AN100" i="20"/>
  <c r="AN84" i="20"/>
  <c r="AN136" i="20"/>
  <c r="AN121" i="20"/>
  <c r="AN135" i="20"/>
  <c r="AN133" i="20"/>
  <c r="AN141" i="20"/>
  <c r="AN147" i="20"/>
  <c r="AN137" i="20"/>
  <c r="AN129" i="20"/>
  <c r="AN128" i="20"/>
  <c r="AN67" i="20"/>
  <c r="AR196" i="20"/>
  <c r="AR173" i="20"/>
  <c r="AR152" i="20"/>
  <c r="AN63" i="20"/>
  <c r="AR93" i="20"/>
  <c r="AE139" i="20"/>
  <c r="BE139" i="20" s="1"/>
  <c r="AM12" i="20"/>
  <c r="X73" i="20"/>
  <c r="Y73" i="20" s="1"/>
  <c r="Z73" i="20" s="1"/>
  <c r="X107" i="20"/>
  <c r="Y107" i="20" s="1"/>
  <c r="Z107" i="20" s="1"/>
  <c r="X12" i="20"/>
  <c r="Y12" i="20" s="1"/>
  <c r="Z12" i="20" s="1"/>
  <c r="U93" i="20"/>
  <c r="V93" i="20" s="1"/>
  <c r="W93" i="20" s="1"/>
  <c r="U77" i="20"/>
  <c r="V77" i="20" s="1"/>
  <c r="W77" i="20" s="1"/>
  <c r="X78" i="20"/>
  <c r="Y78" i="20" s="1"/>
  <c r="Z78" i="20" s="1"/>
  <c r="S78" i="20"/>
  <c r="AD77" i="20"/>
  <c r="AH93" i="20"/>
  <c r="AH39" i="20"/>
  <c r="X105" i="20"/>
  <c r="Y105" i="20" s="1"/>
  <c r="Z105" i="20" s="1"/>
  <c r="AD106" i="20"/>
  <c r="AH62" i="20"/>
  <c r="AD62" i="20"/>
  <c r="AH77" i="20"/>
  <c r="S73" i="20"/>
  <c r="S89" i="20"/>
  <c r="AH105" i="20"/>
  <c r="Q73" i="20"/>
  <c r="AS73" i="20" s="1"/>
  <c r="AF94" i="20"/>
  <c r="AG94" i="20" s="1"/>
  <c r="Q78" i="20"/>
  <c r="AS78" i="20" s="1"/>
  <c r="AA12" i="20"/>
  <c r="AB12" i="20" s="1"/>
  <c r="Q12" i="20"/>
  <c r="AS12" i="20" s="1"/>
  <c r="AF93" i="20"/>
  <c r="AG93" i="20" s="1"/>
  <c r="AF77" i="20"/>
  <c r="AG77" i="20" s="1"/>
  <c r="AF74" i="20"/>
  <c r="AG74" i="20" s="1"/>
  <c r="AO39" i="20"/>
  <c r="AP39" i="20" s="1"/>
  <c r="AO89" i="20"/>
  <c r="AP89" i="20" s="1"/>
  <c r="Q39" i="20"/>
  <c r="AS39" i="20" s="1"/>
  <c r="AR188" i="20"/>
  <c r="AR180" i="20"/>
  <c r="AR145" i="20"/>
  <c r="AR175" i="20"/>
  <c r="AE175" i="20"/>
  <c r="BE175" i="20" s="1"/>
  <c r="AR160" i="20"/>
  <c r="AR168" i="20"/>
  <c r="AR197" i="20"/>
  <c r="AR131" i="20"/>
  <c r="AR148" i="20"/>
  <c r="AR146" i="20"/>
  <c r="AR130" i="20"/>
  <c r="AR209" i="20"/>
  <c r="AR133" i="20"/>
  <c r="AR126" i="20"/>
  <c r="AR165" i="20"/>
  <c r="AR157" i="20"/>
  <c r="BK143" i="20"/>
  <c r="T139" i="20"/>
  <c r="BI139" i="20" s="1"/>
  <c r="AF39" i="20"/>
  <c r="AD107" i="20"/>
  <c r="AN99" i="20"/>
  <c r="AN111" i="20"/>
  <c r="AJ12" i="20"/>
  <c r="AK12" i="20" s="1"/>
  <c r="AR84" i="20"/>
  <c r="AR167" i="20"/>
  <c r="AR172" i="20"/>
  <c r="AR204" i="20"/>
  <c r="AH107" i="20"/>
  <c r="AH98" i="20"/>
  <c r="AH82" i="20"/>
  <c r="AH52" i="20"/>
  <c r="AI52" i="20" s="1"/>
  <c r="U89" i="20"/>
  <c r="V89" i="20" s="1"/>
  <c r="W89" i="20" s="1"/>
  <c r="X94" i="20"/>
  <c r="Y94" i="20" s="1"/>
  <c r="Z94" i="20" s="1"/>
  <c r="U69" i="20"/>
  <c r="V69" i="20" s="1"/>
  <c r="W69" i="20" s="1"/>
  <c r="U44" i="20"/>
  <c r="V44" i="20" s="1"/>
  <c r="W44" i="20" s="1"/>
  <c r="X98" i="20"/>
  <c r="Y98" i="20" s="1"/>
  <c r="Z98" i="20" s="1"/>
  <c r="U78" i="20"/>
  <c r="V78" i="20" s="1"/>
  <c r="W78" i="20" s="1"/>
  <c r="U82" i="20"/>
  <c r="V82" i="20" s="1"/>
  <c r="W82" i="20" s="1"/>
  <c r="AD88" i="20"/>
  <c r="AD78" i="20"/>
  <c r="AD89" i="20"/>
  <c r="AE89" i="20" s="1"/>
  <c r="AH101" i="20"/>
  <c r="AD101" i="20"/>
  <c r="S62" i="20"/>
  <c r="U13" i="20"/>
  <c r="V13" i="20" s="1"/>
  <c r="W13" i="20" s="1"/>
  <c r="AD44" i="20"/>
  <c r="U94" i="20"/>
  <c r="V94" i="20" s="1"/>
  <c r="W94" i="20" s="1"/>
  <c r="AH69" i="20"/>
  <c r="AH73" i="20"/>
  <c r="AD94" i="20"/>
  <c r="AH78" i="20"/>
  <c r="AD98" i="20"/>
  <c r="AD105" i="20"/>
  <c r="AV83" i="20"/>
  <c r="BL83" i="20" s="1"/>
  <c r="Q105" i="20"/>
  <c r="AS105" i="20" s="1"/>
  <c r="AF89" i="20"/>
  <c r="AV89" i="20" s="1"/>
  <c r="BL89" i="20" s="1"/>
  <c r="AF73" i="20"/>
  <c r="AG73" i="20" s="1"/>
  <c r="Q94" i="20"/>
  <c r="AS94" i="20" s="1"/>
  <c r="AF78" i="20"/>
  <c r="AG78" i="20" s="1"/>
  <c r="AF62" i="20"/>
  <c r="AG62" i="20" s="1"/>
  <c r="AF101" i="20"/>
  <c r="AV101" i="20" s="1"/>
  <c r="BL101" i="20" s="1"/>
  <c r="AA82" i="20"/>
  <c r="AB82" i="20" s="1"/>
  <c r="AA105" i="20"/>
  <c r="AB105" i="20" s="1"/>
  <c r="AA94" i="20"/>
  <c r="AB94" i="20" s="1"/>
  <c r="AA78" i="20"/>
  <c r="AB78" i="20" s="1"/>
  <c r="AA69" i="20"/>
  <c r="AB69" i="20" s="1"/>
  <c r="Q98" i="20"/>
  <c r="AS98" i="20" s="1"/>
  <c r="AF82" i="20"/>
  <c r="AG82" i="20" s="1"/>
  <c r="AF66" i="20"/>
  <c r="AG66" i="20" s="1"/>
  <c r="AR76" i="20"/>
  <c r="AO73" i="20"/>
  <c r="AP73" i="20" s="1"/>
  <c r="AR73" i="20" s="1"/>
  <c r="AO78" i="20"/>
  <c r="AP78" i="20" s="1"/>
  <c r="AR78" i="20" s="1"/>
  <c r="AR124" i="20"/>
  <c r="AS204" i="20"/>
  <c r="AR189" i="20"/>
  <c r="AR195" i="20"/>
  <c r="AR207" i="20"/>
  <c r="AR200" i="20"/>
  <c r="T181" i="20"/>
  <c r="BI181" i="20" s="1"/>
  <c r="AR140" i="20"/>
  <c r="AR174" i="20"/>
  <c r="AR202" i="20"/>
  <c r="AO44" i="20"/>
  <c r="AP44" i="20" s="1"/>
  <c r="AF44" i="20"/>
  <c r="AG44" i="20" s="1"/>
  <c r="AA44" i="20"/>
  <c r="AB44" i="20" s="1"/>
  <c r="AF107" i="20"/>
  <c r="AG107" i="20" s="1"/>
  <c r="Q44" i="20"/>
  <c r="AS44" i="20" s="1"/>
  <c r="AJ44" i="20"/>
  <c r="AK44" i="20" s="1"/>
  <c r="AR179" i="20"/>
  <c r="AR159" i="20"/>
  <c r="AN174" i="20"/>
  <c r="AV56" i="21"/>
  <c r="BM56" i="21" s="1"/>
  <c r="AN82" i="20"/>
  <c r="AN115" i="20"/>
  <c r="AN120" i="20"/>
  <c r="AN87" i="20"/>
  <c r="AN114" i="20"/>
  <c r="AN123" i="20"/>
  <c r="AN127" i="20"/>
  <c r="AN113" i="20"/>
  <c r="AN152" i="20"/>
  <c r="AN79" i="20"/>
  <c r="AN83" i="20"/>
  <c r="AV76" i="21"/>
  <c r="BM76" i="21" s="1"/>
  <c r="AN93" i="20"/>
  <c r="AN112" i="20"/>
  <c r="AN131" i="20"/>
  <c r="AN122" i="20"/>
  <c r="AN142" i="20"/>
  <c r="AN146" i="20"/>
  <c r="AN144" i="20"/>
  <c r="AN150" i="20"/>
  <c r="AN138" i="20"/>
  <c r="AN126" i="20"/>
  <c r="AN191" i="20"/>
  <c r="B135" i="2"/>
  <c r="E29" i="1" s="1"/>
  <c r="AN91" i="20"/>
  <c r="AN192" i="20"/>
  <c r="AN204" i="20"/>
  <c r="AN162" i="20"/>
  <c r="AN158" i="20"/>
  <c r="AV179" i="20"/>
  <c r="BL179" i="20" s="1"/>
  <c r="AN178" i="20"/>
  <c r="AN208" i="20"/>
  <c r="AN186" i="20"/>
  <c r="BE143" i="20"/>
  <c r="BE183" i="20"/>
  <c r="AK173" i="20"/>
  <c r="AN173" i="20" s="1"/>
  <c r="AV173" i="20"/>
  <c r="BL173" i="20" s="1"/>
  <c r="AN194" i="20"/>
  <c r="AJ52" i="20"/>
  <c r="AK52" i="20" s="1"/>
  <c r="AM52" i="20"/>
  <c r="R151" i="20"/>
  <c r="T151" i="20" s="1"/>
  <c r="BI151" i="20" s="1"/>
  <c r="AS151" i="20"/>
  <c r="AN181" i="20"/>
  <c r="AN172" i="20"/>
  <c r="R159" i="20"/>
  <c r="T159" i="20" s="1"/>
  <c r="BI159" i="20" s="1"/>
  <c r="AS159" i="20"/>
  <c r="AN188" i="20"/>
  <c r="AN166" i="20"/>
  <c r="AN203" i="20"/>
  <c r="AN201" i="20"/>
  <c r="AN165" i="20"/>
  <c r="AN199" i="20"/>
  <c r="AN160" i="20"/>
  <c r="AN195" i="20"/>
  <c r="AN209" i="20"/>
  <c r="S88" i="20"/>
  <c r="X69" i="20"/>
  <c r="Y69" i="20" s="1"/>
  <c r="Z69" i="20" s="1"/>
  <c r="X82" i="20"/>
  <c r="Y82" i="20" s="1"/>
  <c r="Z82" i="20" s="1"/>
  <c r="U81" i="20"/>
  <c r="V81" i="20" s="1"/>
  <c r="W81" i="20" s="1"/>
  <c r="X86" i="20"/>
  <c r="Y86" i="20" s="1"/>
  <c r="Z86" i="20" s="1"/>
  <c r="X17" i="20"/>
  <c r="Y17" i="20" s="1"/>
  <c r="Z17" i="20" s="1"/>
  <c r="X72" i="20"/>
  <c r="Y72" i="20" s="1"/>
  <c r="Z72" i="20" s="1"/>
  <c r="U97" i="20"/>
  <c r="V97" i="20" s="1"/>
  <c r="W97" i="20" s="1"/>
  <c r="U65" i="20"/>
  <c r="V65" i="20" s="1"/>
  <c r="W65" i="20" s="1"/>
  <c r="U72" i="20"/>
  <c r="V72" i="20" s="1"/>
  <c r="W72" i="20" s="1"/>
  <c r="U101" i="20"/>
  <c r="V101" i="20" s="1"/>
  <c r="W101" i="20" s="1"/>
  <c r="U107" i="20"/>
  <c r="V107" i="20" s="1"/>
  <c r="W107" i="20" s="1"/>
  <c r="U70" i="20"/>
  <c r="V70" i="20" s="1"/>
  <c r="W70" i="20" s="1"/>
  <c r="X102" i="20"/>
  <c r="Y102" i="20" s="1"/>
  <c r="Z102" i="20" s="1"/>
  <c r="X97" i="20"/>
  <c r="Y97" i="20" s="1"/>
  <c r="Z97" i="20" s="1"/>
  <c r="S69" i="20"/>
  <c r="S102" i="20"/>
  <c r="X101" i="20"/>
  <c r="Y101" i="20" s="1"/>
  <c r="Z101" i="20" s="1"/>
  <c r="S107" i="20"/>
  <c r="U86" i="20"/>
  <c r="V86" i="20" s="1"/>
  <c r="W86" i="20" s="1"/>
  <c r="S66" i="20"/>
  <c r="AA81" i="20"/>
  <c r="AB81" i="20" s="1"/>
  <c r="AE81" i="20" s="1"/>
  <c r="AA98" i="20"/>
  <c r="AB98" i="20" s="1"/>
  <c r="AA66" i="20"/>
  <c r="AB66" i="20" s="1"/>
  <c r="AR9" i="20"/>
  <c r="Q97" i="20"/>
  <c r="AS97" i="20" s="1"/>
  <c r="Q81" i="20"/>
  <c r="AS81" i="20" s="1"/>
  <c r="Q86" i="20"/>
  <c r="AS86" i="20" s="1"/>
  <c r="Q70" i="20"/>
  <c r="AS70" i="20" s="1"/>
  <c r="AA101" i="20"/>
  <c r="AB101" i="20" s="1"/>
  <c r="Q82" i="20"/>
  <c r="AS82" i="20" s="1"/>
  <c r="AA65" i="20"/>
  <c r="AB65" i="20" s="1"/>
  <c r="AJ65" i="20"/>
  <c r="AK65" i="20" s="1"/>
  <c r="AN65" i="20" s="1"/>
  <c r="AQ61" i="20"/>
  <c r="AQ66" i="20"/>
  <c r="AO98" i="20"/>
  <c r="AP98" i="20" s="1"/>
  <c r="AR98" i="20" s="1"/>
  <c r="AJ70" i="20"/>
  <c r="AK70" i="20" s="1"/>
  <c r="AN70" i="20" s="1"/>
  <c r="AO101" i="20"/>
  <c r="AP101" i="20" s="1"/>
  <c r="AR101" i="20" s="1"/>
  <c r="AQ82" i="20"/>
  <c r="AN80" i="20"/>
  <c r="AQ52" i="20"/>
  <c r="AR115" i="20"/>
  <c r="BF171" i="20"/>
  <c r="AV188" i="20"/>
  <c r="BL188" i="20" s="1"/>
  <c r="AR164" i="20"/>
  <c r="AR185" i="20"/>
  <c r="AR170" i="20"/>
  <c r="AR154" i="20"/>
  <c r="AR138" i="20"/>
  <c r="AR153" i="20"/>
  <c r="AR190" i="20"/>
  <c r="AV165" i="20"/>
  <c r="BL165" i="20" s="1"/>
  <c r="AV181" i="20"/>
  <c r="BL181" i="20" s="1"/>
  <c r="AR144" i="20"/>
  <c r="AR205" i="20"/>
  <c r="AR123" i="20"/>
  <c r="AR198" i="20"/>
  <c r="AR186" i="20"/>
  <c r="AR177" i="20"/>
  <c r="AR119" i="20"/>
  <c r="AV151" i="20"/>
  <c r="BL151" i="20" s="1"/>
  <c r="AR141" i="20"/>
  <c r="AE202" i="20"/>
  <c r="BE202" i="20" s="1"/>
  <c r="BE171" i="20"/>
  <c r="AA52" i="20"/>
  <c r="AB52" i="20" s="1"/>
  <c r="BE152" i="20"/>
  <c r="AV194" i="20"/>
  <c r="BL194" i="20" s="1"/>
  <c r="AJ88" i="20"/>
  <c r="AK88" i="20" s="1"/>
  <c r="AJ101" i="20"/>
  <c r="AK101" i="20" s="1"/>
  <c r="AJ98" i="20"/>
  <c r="AK98" i="20" s="1"/>
  <c r="AR91" i="20"/>
  <c r="BE156" i="20"/>
  <c r="AR96" i="20"/>
  <c r="AN125" i="20"/>
  <c r="AN134" i="20"/>
  <c r="AN124" i="20"/>
  <c r="AN145" i="20"/>
  <c r="AN154" i="20"/>
  <c r="AN153" i="20"/>
  <c r="AN148" i="20"/>
  <c r="AN96" i="20"/>
  <c r="AN130" i="20"/>
  <c r="AN119" i="20"/>
  <c r="AN206" i="20"/>
  <c r="AN161" i="20"/>
  <c r="AN205" i="20"/>
  <c r="AN185" i="20"/>
  <c r="AN177" i="20"/>
  <c r="AN170" i="20"/>
  <c r="AN184" i="20"/>
  <c r="AN190" i="20"/>
  <c r="AN202" i="20"/>
  <c r="AN151" i="20"/>
  <c r="R172" i="20"/>
  <c r="T172" i="20" s="1"/>
  <c r="BI172" i="20" s="1"/>
  <c r="AS172" i="20"/>
  <c r="AN159" i="20"/>
  <c r="AN182" i="20"/>
  <c r="AN180" i="20"/>
  <c r="AN164" i="20"/>
  <c r="AN132" i="20"/>
  <c r="AN149" i="20"/>
  <c r="AN175" i="20"/>
  <c r="AN187" i="20"/>
  <c r="AN169" i="20"/>
  <c r="AN157" i="20"/>
  <c r="AN163" i="20"/>
  <c r="AN207" i="20"/>
  <c r="AN197" i="20"/>
  <c r="AN176" i="20"/>
  <c r="AN198" i="20"/>
  <c r="AN196" i="20"/>
  <c r="AN189" i="20"/>
  <c r="AN200" i="20"/>
  <c r="AN168" i="20"/>
  <c r="AV71" i="20"/>
  <c r="BL71" i="20" s="1"/>
  <c r="U88" i="20"/>
  <c r="V88" i="20" s="1"/>
  <c r="W88" i="20" s="1"/>
  <c r="AM88" i="20"/>
  <c r="AQ88" i="20"/>
  <c r="AO107" i="20"/>
  <c r="AP107" i="20" s="1"/>
  <c r="AR107" i="20" s="1"/>
  <c r="AM107" i="20"/>
  <c r="AQ97" i="20"/>
  <c r="AM97" i="20"/>
  <c r="AN97" i="20" s="1"/>
  <c r="AQ102" i="20"/>
  <c r="AM102" i="20"/>
  <c r="AN102" i="20" s="1"/>
  <c r="AQ86" i="20"/>
  <c r="AM86" i="20"/>
  <c r="BE96" i="20"/>
  <c r="AO104" i="20"/>
  <c r="AP104" i="20" s="1"/>
  <c r="AM104" i="20"/>
  <c r="AN104" i="20" s="1"/>
  <c r="AQ104" i="20"/>
  <c r="Q104" i="20"/>
  <c r="AA104" i="20"/>
  <c r="AB104" i="20" s="1"/>
  <c r="AJ107" i="20"/>
  <c r="AK107" i="20" s="1"/>
  <c r="AQ105" i="20"/>
  <c r="AR105" i="20" s="1"/>
  <c r="AM105" i="20"/>
  <c r="AN105" i="20" s="1"/>
  <c r="AQ89" i="20"/>
  <c r="AM89" i="20"/>
  <c r="AN89" i="20" s="1"/>
  <c r="AQ94" i="20"/>
  <c r="AR94" i="20" s="1"/>
  <c r="AM94" i="20"/>
  <c r="AN94" i="20" s="1"/>
  <c r="AE64" i="20"/>
  <c r="BE64" i="20" s="1"/>
  <c r="R82" i="21"/>
  <c r="T82" i="21" s="1"/>
  <c r="BI82" i="21" s="1"/>
  <c r="AI97" i="21"/>
  <c r="AJ13" i="20"/>
  <c r="AK13" i="20" s="1"/>
  <c r="AQ23" i="20"/>
  <c r="AA23" i="20"/>
  <c r="AB23" i="20" s="1"/>
  <c r="AO23" i="20"/>
  <c r="AP23" i="20" s="1"/>
  <c r="AH72" i="20"/>
  <c r="AD41" i="20"/>
  <c r="Q65" i="20"/>
  <c r="AS65" i="20" s="1"/>
  <c r="AO65" i="20"/>
  <c r="AP65" i="20" s="1"/>
  <c r="AO72" i="20"/>
  <c r="AP72" i="20" s="1"/>
  <c r="AR67" i="20"/>
  <c r="U31" i="20"/>
  <c r="V31" i="20" s="1"/>
  <c r="W31" i="20" s="1"/>
  <c r="AE199" i="20"/>
  <c r="BE199" i="20" s="1"/>
  <c r="AR111" i="20"/>
  <c r="AD72" i="20"/>
  <c r="AC20" i="20"/>
  <c r="AE20" i="20" s="1"/>
  <c r="AJ20" i="20"/>
  <c r="AK20" i="20" s="1"/>
  <c r="AN20" i="20" s="1"/>
  <c r="AO20" i="20"/>
  <c r="AP20" i="20" s="1"/>
  <c r="AR20" i="20" s="1"/>
  <c r="AR99" i="20"/>
  <c r="AV80" i="20"/>
  <c r="BL80" i="20" s="1"/>
  <c r="AM46" i="20"/>
  <c r="AN46" i="20" s="1"/>
  <c r="AJ61" i="20"/>
  <c r="AK61" i="20" s="1"/>
  <c r="AN61" i="20" s="1"/>
  <c r="AR112" i="20"/>
  <c r="AR110" i="20"/>
  <c r="AR27" i="20"/>
  <c r="Q72" i="20"/>
  <c r="AS72" i="20" s="1"/>
  <c r="AM72" i="20"/>
  <c r="AN72" i="20" s="1"/>
  <c r="AQ72" i="20"/>
  <c r="AF72" i="20"/>
  <c r="AA72" i="20"/>
  <c r="AB72" i="20" s="1"/>
  <c r="AC88" i="20"/>
  <c r="AO88" i="20"/>
  <c r="AP88" i="20" s="1"/>
  <c r="AF88" i="20"/>
  <c r="AG88" i="20" s="1"/>
  <c r="AA88" i="20"/>
  <c r="AB88" i="20" s="1"/>
  <c r="Q88" i="20"/>
  <c r="AR56" i="20"/>
  <c r="AA26" i="20"/>
  <c r="AB26" i="20" s="1"/>
  <c r="AM30" i="20"/>
  <c r="R11" i="21"/>
  <c r="T11" i="21" s="1"/>
  <c r="BI11" i="21" s="1"/>
  <c r="R56" i="20"/>
  <c r="T56" i="20" s="1"/>
  <c r="BI56" i="20" s="1"/>
  <c r="AM25" i="20"/>
  <c r="AM26" i="20"/>
  <c r="AN27" i="20"/>
  <c r="AO30" i="20"/>
  <c r="AP30" i="20" s="1"/>
  <c r="AQ26" i="20"/>
  <c r="AV117" i="20"/>
  <c r="BL117" i="20" s="1"/>
  <c r="AR67" i="21"/>
  <c r="AR58" i="21"/>
  <c r="BL58" i="21" s="1"/>
  <c r="BF58" i="21" s="1"/>
  <c r="AR42" i="21"/>
  <c r="AI83" i="21"/>
  <c r="AE27" i="20"/>
  <c r="S30" i="20"/>
  <c r="U30" i="20"/>
  <c r="V30" i="20" s="1"/>
  <c r="W30" i="20" s="1"/>
  <c r="AJ25" i="20"/>
  <c r="AK25" i="20" s="1"/>
  <c r="AO26" i="20"/>
  <c r="AP26" i="20" s="1"/>
  <c r="Q33" i="20"/>
  <c r="AS33" i="20" s="1"/>
  <c r="AJ26" i="20"/>
  <c r="AK26" i="20" s="1"/>
  <c r="AQ30" i="20"/>
  <c r="AE150" i="20"/>
  <c r="BE150" i="20" s="1"/>
  <c r="AE189" i="20"/>
  <c r="BE189" i="20" s="1"/>
  <c r="AG120" i="20"/>
  <c r="AI120" i="20" s="1"/>
  <c r="BF120" i="20" s="1"/>
  <c r="AE119" i="20"/>
  <c r="BE119" i="20" s="1"/>
  <c r="R22" i="21"/>
  <c r="T22" i="21" s="1"/>
  <c r="BI22" i="21" s="1"/>
  <c r="AI35" i="21"/>
  <c r="AI47" i="21"/>
  <c r="AR51" i="20"/>
  <c r="AV67" i="21"/>
  <c r="BM67" i="21" s="1"/>
  <c r="AG67" i="21"/>
  <c r="AI67" i="21" s="1"/>
  <c r="S29" i="20"/>
  <c r="AG24" i="20"/>
  <c r="AI24" i="20" s="1"/>
  <c r="S31" i="20"/>
  <c r="AV63" i="20"/>
  <c r="BL63" i="20" s="1"/>
  <c r="AJ31" i="20"/>
  <c r="AK31" i="20" s="1"/>
  <c r="AJ18" i="20"/>
  <c r="AK18" i="20" s="1"/>
  <c r="AR22" i="20"/>
  <c r="AE185" i="20"/>
  <c r="BE185" i="20" s="1"/>
  <c r="AG185" i="20"/>
  <c r="AI185" i="20" s="1"/>
  <c r="BF185" i="20" s="1"/>
  <c r="AG130" i="20"/>
  <c r="AI130" i="20" s="1"/>
  <c r="BF130" i="20" s="1"/>
  <c r="AE203" i="20"/>
  <c r="BE203" i="20" s="1"/>
  <c r="AG194" i="20"/>
  <c r="AI194" i="20" s="1"/>
  <c r="BF194" i="20" s="1"/>
  <c r="AI81" i="21"/>
  <c r="AI82" i="21"/>
  <c r="U53" i="20"/>
  <c r="V53" i="20" s="1"/>
  <c r="W53" i="20" s="1"/>
  <c r="R27" i="20"/>
  <c r="T27" i="20" s="1"/>
  <c r="BI27" i="20" s="1"/>
  <c r="AH50" i="20"/>
  <c r="AH49" i="20"/>
  <c r="AE99" i="20"/>
  <c r="BE99" i="20" s="1"/>
  <c r="AJ29" i="20"/>
  <c r="AK29" i="20" s="1"/>
  <c r="Q30" i="20"/>
  <c r="AS30" i="20" s="1"/>
  <c r="AC30" i="20"/>
  <c r="AI106" i="21"/>
  <c r="R92" i="20"/>
  <c r="T92" i="20" s="1"/>
  <c r="BI92" i="20" s="1"/>
  <c r="R76" i="20"/>
  <c r="T76" i="20" s="1"/>
  <c r="BI76" i="20" s="1"/>
  <c r="AH37" i="20"/>
  <c r="R91" i="20"/>
  <c r="T91" i="20" s="1"/>
  <c r="BI91" i="20" s="1"/>
  <c r="S50" i="20"/>
  <c r="AH18" i="20"/>
  <c r="U37" i="20"/>
  <c r="V37" i="20" s="1"/>
  <c r="W37" i="20" s="1"/>
  <c r="AH21" i="20"/>
  <c r="AD42" i="20"/>
  <c r="S49" i="20"/>
  <c r="AH42" i="20"/>
  <c r="R60" i="20"/>
  <c r="T60" i="20" s="1"/>
  <c r="BI60" i="20" s="1"/>
  <c r="S37" i="20"/>
  <c r="AH41" i="20"/>
  <c r="U46" i="20"/>
  <c r="V46" i="20" s="1"/>
  <c r="W46" i="20" s="1"/>
  <c r="AA31" i="20"/>
  <c r="AB31" i="20" s="1"/>
  <c r="AE31" i="20" s="1"/>
  <c r="AO17" i="20"/>
  <c r="AP17" i="20" s="1"/>
  <c r="Q31" i="20"/>
  <c r="AA53" i="20"/>
  <c r="AB53" i="20" s="1"/>
  <c r="Q46" i="20"/>
  <c r="AS46" i="20" s="1"/>
  <c r="Q26" i="20"/>
  <c r="AS26" i="20" s="1"/>
  <c r="AC26" i="20"/>
  <c r="AS94" i="21"/>
  <c r="AE58" i="21"/>
  <c r="AI105" i="21"/>
  <c r="S18" i="20"/>
  <c r="AM29" i="20"/>
  <c r="AV22" i="20"/>
  <c r="BL22" i="20" s="1"/>
  <c r="U33" i="20"/>
  <c r="V33" i="20" s="1"/>
  <c r="W33" i="20" s="1"/>
  <c r="R99" i="20"/>
  <c r="T99" i="20" s="1"/>
  <c r="BI99" i="20" s="1"/>
  <c r="X29" i="20"/>
  <c r="Y29" i="20" s="1"/>
  <c r="Z29" i="20" s="1"/>
  <c r="AV56" i="20"/>
  <c r="BL56" i="20" s="1"/>
  <c r="AI63" i="20"/>
  <c r="BF63" i="20" s="1"/>
  <c r="AA29" i="20"/>
  <c r="AB29" i="20" s="1"/>
  <c r="AO33" i="20"/>
  <c r="AP33" i="20" s="1"/>
  <c r="Q29" i="20"/>
  <c r="AS29" i="20" s="1"/>
  <c r="U18" i="20"/>
  <c r="V18" i="20" s="1"/>
  <c r="W18" i="20" s="1"/>
  <c r="AN51" i="20"/>
  <c r="AE115" i="20"/>
  <c r="BE115" i="20" s="1"/>
  <c r="AE161" i="20"/>
  <c r="BE161" i="20" s="1"/>
  <c r="AV208" i="20"/>
  <c r="BL208" i="20" s="1"/>
  <c r="AG161" i="20"/>
  <c r="AI161" i="20" s="1"/>
  <c r="BF161" i="20" s="1"/>
  <c r="AG201" i="20"/>
  <c r="AI201" i="20" s="1"/>
  <c r="BF201" i="20" s="1"/>
  <c r="AE137" i="20"/>
  <c r="BE137" i="20" s="1"/>
  <c r="AE146" i="20"/>
  <c r="BE146" i="20" s="1"/>
  <c r="AE198" i="20"/>
  <c r="BE198" i="20" s="1"/>
  <c r="AE132" i="20"/>
  <c r="BE132" i="20" s="1"/>
  <c r="BK172" i="20"/>
  <c r="AI109" i="21"/>
  <c r="AI93" i="21"/>
  <c r="AE63" i="20"/>
  <c r="AI45" i="21"/>
  <c r="AI90" i="21"/>
  <c r="AI71" i="20"/>
  <c r="AF42" i="20"/>
  <c r="AG42" i="20" s="1"/>
  <c r="AR11" i="21"/>
  <c r="AR76" i="21"/>
  <c r="R59" i="20"/>
  <c r="T59" i="20" s="1"/>
  <c r="BI59" i="20" s="1"/>
  <c r="S26" i="20"/>
  <c r="AD26" i="20"/>
  <c r="R51" i="20"/>
  <c r="T51" i="20" s="1"/>
  <c r="BI51" i="20" s="1"/>
  <c r="X31" i="20"/>
  <c r="Y31" i="20" s="1"/>
  <c r="Z31" i="20" s="1"/>
  <c r="X30" i="20"/>
  <c r="Y30" i="20" s="1"/>
  <c r="Z30" i="20" s="1"/>
  <c r="AH30" i="20"/>
  <c r="X26" i="20"/>
  <c r="Y26" i="20" s="1"/>
  <c r="Z26" i="20" s="1"/>
  <c r="X61" i="20"/>
  <c r="Y61" i="20" s="1"/>
  <c r="Z61" i="20" s="1"/>
  <c r="AF30" i="20"/>
  <c r="AG30" i="20" s="1"/>
  <c r="AF58" i="20"/>
  <c r="AG58" i="20" s="1"/>
  <c r="AA25" i="20"/>
  <c r="AB25" i="20" s="1"/>
  <c r="AE25" i="20" s="1"/>
  <c r="AJ21" i="20"/>
  <c r="AK21" i="20" s="1"/>
  <c r="AE22" i="20"/>
  <c r="AN55" i="20"/>
  <c r="U26" i="20"/>
  <c r="V26" i="20" s="1"/>
  <c r="W26" i="20" s="1"/>
  <c r="AE166" i="20"/>
  <c r="AE134" i="20"/>
  <c r="BE134" i="20" s="1"/>
  <c r="AI208" i="20"/>
  <c r="BF208" i="20" s="1"/>
  <c r="AG166" i="20"/>
  <c r="AI166" i="20" s="1"/>
  <c r="BF166" i="20" s="1"/>
  <c r="AG162" i="20"/>
  <c r="AI162" i="20" s="1"/>
  <c r="BF162" i="20" s="1"/>
  <c r="AE162" i="20"/>
  <c r="BE162" i="20" s="1"/>
  <c r="AE186" i="20"/>
  <c r="BE186" i="20" s="1"/>
  <c r="AE177" i="20"/>
  <c r="BE177" i="20" s="1"/>
  <c r="AE200" i="20"/>
  <c r="AG158" i="20"/>
  <c r="AI158" i="20" s="1"/>
  <c r="BF158" i="20" s="1"/>
  <c r="AI101" i="21"/>
  <c r="AS58" i="21"/>
  <c r="AI55" i="20"/>
  <c r="BF55" i="20" s="1"/>
  <c r="AI43" i="21"/>
  <c r="AF17" i="20"/>
  <c r="AG17" i="20" s="1"/>
  <c r="AF14" i="20"/>
  <c r="AF10" i="20"/>
  <c r="AG10" i="20" s="1"/>
  <c r="AI10" i="20" s="1"/>
  <c r="AJ17" i="20"/>
  <c r="AK17" i="20" s="1"/>
  <c r="AO13" i="20"/>
  <c r="AP13" i="20" s="1"/>
  <c r="AO21" i="20"/>
  <c r="AP21" i="20" s="1"/>
  <c r="AJ34" i="20"/>
  <c r="AK34" i="20" s="1"/>
  <c r="AD34" i="20"/>
  <c r="AF18" i="20"/>
  <c r="AG18" i="20" s="1"/>
  <c r="AF13" i="20"/>
  <c r="AG13" i="20" s="1"/>
  <c r="AF21" i="20"/>
  <c r="AG21" i="20" s="1"/>
  <c r="R55" i="20"/>
  <c r="T55" i="20" s="1"/>
  <c r="BI55" i="20" s="1"/>
  <c r="R67" i="20"/>
  <c r="T67" i="20" s="1"/>
  <c r="BI67" i="20" s="1"/>
  <c r="AH46" i="20"/>
  <c r="X50" i="20"/>
  <c r="Y50" i="20" s="1"/>
  <c r="Z50" i="20" s="1"/>
  <c r="U61" i="20"/>
  <c r="V61" i="20" s="1"/>
  <c r="W61" i="20" s="1"/>
  <c r="U49" i="20"/>
  <c r="V49" i="20" s="1"/>
  <c r="W49" i="20" s="1"/>
  <c r="U42" i="20"/>
  <c r="V42" i="20" s="1"/>
  <c r="W42" i="20" s="1"/>
  <c r="U41" i="20"/>
  <c r="V41" i="20" s="1"/>
  <c r="W41" i="20" s="1"/>
  <c r="X46" i="20"/>
  <c r="Y46" i="20" s="1"/>
  <c r="Z46" i="20" s="1"/>
  <c r="X53" i="20"/>
  <c r="Y53" i="20" s="1"/>
  <c r="Z53" i="20" s="1"/>
  <c r="AD49" i="20"/>
  <c r="X49" i="20"/>
  <c r="Y49" i="20" s="1"/>
  <c r="Z49" i="20" s="1"/>
  <c r="X42" i="20"/>
  <c r="Y42" i="20" s="1"/>
  <c r="Z42" i="20" s="1"/>
  <c r="AD53" i="20"/>
  <c r="X41" i="20"/>
  <c r="Y41" i="20" s="1"/>
  <c r="Z41" i="20" s="1"/>
  <c r="AD46" i="20"/>
  <c r="AD50" i="20"/>
  <c r="AH53" i="20"/>
  <c r="R108" i="20"/>
  <c r="T108" i="20" s="1"/>
  <c r="BI108" i="20" s="1"/>
  <c r="S46" i="20"/>
  <c r="S42" i="20"/>
  <c r="AA42" i="20"/>
  <c r="AB42" i="20" s="1"/>
  <c r="AA46" i="20"/>
  <c r="AB46" i="20" s="1"/>
  <c r="AF49" i="20"/>
  <c r="AG49" i="20" s="1"/>
  <c r="AF37" i="20"/>
  <c r="AG37" i="20" s="1"/>
  <c r="Q61" i="20"/>
  <c r="AS61" i="20" s="1"/>
  <c r="AJ37" i="20"/>
  <c r="AK37" i="20" s="1"/>
  <c r="AA61" i="20"/>
  <c r="AB61" i="20" s="1"/>
  <c r="AO41" i="20"/>
  <c r="AP41" i="20" s="1"/>
  <c r="AE188" i="20"/>
  <c r="BE188" i="20" s="1"/>
  <c r="AV150" i="20"/>
  <c r="BL150" i="20" s="1"/>
  <c r="AV119" i="20"/>
  <c r="BL119" i="20" s="1"/>
  <c r="AV198" i="20"/>
  <c r="BL198" i="20" s="1"/>
  <c r="AV200" i="20"/>
  <c r="BL200" i="20" s="1"/>
  <c r="AS105" i="21"/>
  <c r="AR35" i="21"/>
  <c r="R63" i="20"/>
  <c r="T63" i="20" s="1"/>
  <c r="R83" i="20"/>
  <c r="T83" i="20" s="1"/>
  <c r="BI83" i="20" s="1"/>
  <c r="AH54" i="20"/>
  <c r="AE59" i="20"/>
  <c r="BE59" i="20" s="1"/>
  <c r="AD54" i="20"/>
  <c r="S58" i="20"/>
  <c r="AA57" i="20"/>
  <c r="AB57" i="20" s="1"/>
  <c r="AN56" i="20"/>
  <c r="AV203" i="20"/>
  <c r="BL203" i="20" s="1"/>
  <c r="AE112" i="20"/>
  <c r="BE112" i="20" s="1"/>
  <c r="AV142" i="20"/>
  <c r="BL142" i="20" s="1"/>
  <c r="AG136" i="20"/>
  <c r="AI136" i="20" s="1"/>
  <c r="BF136" i="20" s="1"/>
  <c r="AS106" i="21"/>
  <c r="AS109" i="21"/>
  <c r="AR47" i="21"/>
  <c r="AR44" i="21"/>
  <c r="BL44" i="21" s="1"/>
  <c r="BF44" i="21" s="1"/>
  <c r="AR15" i="21"/>
  <c r="AR30" i="21"/>
  <c r="AR74" i="21"/>
  <c r="BL74" i="21" s="1"/>
  <c r="BF74" i="21" s="1"/>
  <c r="AR36" i="21"/>
  <c r="AI62" i="21"/>
  <c r="T84" i="21"/>
  <c r="BI84" i="21" s="1"/>
  <c r="Q41" i="20"/>
  <c r="AS41" i="20" s="1"/>
  <c r="Q53" i="20"/>
  <c r="AS53" i="20" s="1"/>
  <c r="Q50" i="20"/>
  <c r="AS50" i="20" s="1"/>
  <c r="AA41" i="20"/>
  <c r="AB41" i="20" s="1"/>
  <c r="Q49" i="20"/>
  <c r="AS49" i="20" s="1"/>
  <c r="Q42" i="20"/>
  <c r="AS42" i="20" s="1"/>
  <c r="Q37" i="20"/>
  <c r="AS37" i="20" s="1"/>
  <c r="AQ49" i="20"/>
  <c r="X37" i="20"/>
  <c r="Y37" i="20" s="1"/>
  <c r="Z37" i="20" s="1"/>
  <c r="S53" i="20"/>
  <c r="AM37" i="20"/>
  <c r="AE40" i="20"/>
  <c r="AF53" i="20"/>
  <c r="AG53" i="20" s="1"/>
  <c r="R40" i="20"/>
  <c r="T40" i="20" s="1"/>
  <c r="U58" i="20"/>
  <c r="V58" i="20" s="1"/>
  <c r="W58" i="20" s="1"/>
  <c r="U57" i="20"/>
  <c r="V57" i="20" s="1"/>
  <c r="W57" i="20" s="1"/>
  <c r="U45" i="20"/>
  <c r="V45" i="20" s="1"/>
  <c r="W45" i="20" s="1"/>
  <c r="AI84" i="20"/>
  <c r="BF84" i="20" s="1"/>
  <c r="AD45" i="20"/>
  <c r="X57" i="20"/>
  <c r="Y57" i="20" s="1"/>
  <c r="Z57" i="20" s="1"/>
  <c r="AD58" i="20"/>
  <c r="AH45" i="20"/>
  <c r="AE55" i="20"/>
  <c r="Q57" i="20"/>
  <c r="AS57" i="20" s="1"/>
  <c r="Q45" i="20"/>
  <c r="AF38" i="20"/>
  <c r="AG38" i="20" s="1"/>
  <c r="AA34" i="20"/>
  <c r="AB34" i="20" s="1"/>
  <c r="AF61" i="20"/>
  <c r="AA58" i="20"/>
  <c r="AB58" i="20" s="1"/>
  <c r="AO61" i="20"/>
  <c r="AP61" i="20" s="1"/>
  <c r="AE117" i="20"/>
  <c r="BE117" i="20" s="1"/>
  <c r="AV134" i="20"/>
  <c r="BL134" i="20" s="1"/>
  <c r="AE208" i="20"/>
  <c r="BE208" i="20" s="1"/>
  <c r="AG178" i="20"/>
  <c r="AI178" i="20" s="1"/>
  <c r="AS67" i="21"/>
  <c r="R68" i="21"/>
  <c r="T68" i="21" s="1"/>
  <c r="BI68" i="21" s="1"/>
  <c r="AS84" i="21"/>
  <c r="AN74" i="21"/>
  <c r="AE74" i="21"/>
  <c r="AE9" i="21"/>
  <c r="AE53" i="21"/>
  <c r="AE66" i="21"/>
  <c r="AF46" i="20"/>
  <c r="AG46" i="20" s="1"/>
  <c r="AJ41" i="20"/>
  <c r="AK41" i="20" s="1"/>
  <c r="AN41" i="20" s="1"/>
  <c r="AJ42" i="20"/>
  <c r="AK42" i="20" s="1"/>
  <c r="AN42" i="20" s="1"/>
  <c r="AQ46" i="20"/>
  <c r="AO49" i="20"/>
  <c r="AP49" i="20" s="1"/>
  <c r="AQ37" i="20"/>
  <c r="AR37" i="20" s="1"/>
  <c r="AF41" i="20"/>
  <c r="AG41" i="20" s="1"/>
  <c r="AO42" i="20"/>
  <c r="AP42" i="20" s="1"/>
  <c r="AO46" i="20"/>
  <c r="AP46" i="20" s="1"/>
  <c r="S41" i="20"/>
  <c r="AM34" i="20"/>
  <c r="AJ57" i="20"/>
  <c r="AK57" i="20" s="1"/>
  <c r="AN57" i="20" s="1"/>
  <c r="AI75" i="20"/>
  <c r="BF75" i="20" s="1"/>
  <c r="AH58" i="20"/>
  <c r="X45" i="20"/>
  <c r="Y45" i="20" s="1"/>
  <c r="Z45" i="20" s="1"/>
  <c r="S57" i="20"/>
  <c r="AD57" i="20"/>
  <c r="AH57" i="20"/>
  <c r="AE56" i="20"/>
  <c r="BE56" i="20" s="1"/>
  <c r="X58" i="20"/>
  <c r="Y58" i="20" s="1"/>
  <c r="Z58" i="20" s="1"/>
  <c r="AE91" i="20"/>
  <c r="BE91" i="20" s="1"/>
  <c r="Q34" i="20"/>
  <c r="AS34" i="20" s="1"/>
  <c r="Q58" i="20"/>
  <c r="Q38" i="20"/>
  <c r="AS38" i="20" s="1"/>
  <c r="Q54" i="20"/>
  <c r="AS54" i="20" s="1"/>
  <c r="AA38" i="20"/>
  <c r="AB38" i="20" s="1"/>
  <c r="AQ57" i="20"/>
  <c r="AJ45" i="20"/>
  <c r="AK45" i="20" s="1"/>
  <c r="AN45" i="20" s="1"/>
  <c r="AJ58" i="20"/>
  <c r="AK58" i="20" s="1"/>
  <c r="AN58" i="20" s="1"/>
  <c r="AQ38" i="20"/>
  <c r="AR38" i="20" s="1"/>
  <c r="AF57" i="20"/>
  <c r="AG57" i="20" s="1"/>
  <c r="AI134" i="20"/>
  <c r="BF134" i="20" s="1"/>
  <c r="AE122" i="20"/>
  <c r="BE122" i="20" s="1"/>
  <c r="AE209" i="20"/>
  <c r="BE209" i="20" s="1"/>
  <c r="BK156" i="20"/>
  <c r="BB156" i="20"/>
  <c r="BD156" i="20" s="1"/>
  <c r="BH156" i="20" s="1"/>
  <c r="BJ156" i="20"/>
  <c r="R9" i="21"/>
  <c r="T9" i="21" s="1"/>
  <c r="BI9" i="21" s="1"/>
  <c r="R89" i="21"/>
  <c r="T89" i="21" s="1"/>
  <c r="BI89" i="21" s="1"/>
  <c r="AR34" i="21"/>
  <c r="R14" i="21"/>
  <c r="T14" i="21" s="1"/>
  <c r="BI14" i="21" s="1"/>
  <c r="AS66" i="21"/>
  <c r="AN56" i="21"/>
  <c r="T74" i="21"/>
  <c r="BI74" i="21" s="1"/>
  <c r="AV59" i="21"/>
  <c r="BM59" i="21" s="1"/>
  <c r="AV58" i="21"/>
  <c r="BM58" i="21" s="1"/>
  <c r="AR53" i="21"/>
  <c r="BL53" i="21" s="1"/>
  <c r="BF53" i="21" s="1"/>
  <c r="BL66" i="21"/>
  <c r="BF66" i="21" s="1"/>
  <c r="AR25" i="21"/>
  <c r="AR37" i="21"/>
  <c r="AR39" i="21"/>
  <c r="R63" i="21"/>
  <c r="T63" i="21" s="1"/>
  <c r="BI63" i="21" s="1"/>
  <c r="AS55" i="21"/>
  <c r="AS47" i="21"/>
  <c r="AR21" i="21"/>
  <c r="AR57" i="21"/>
  <c r="BL57" i="21" s="1"/>
  <c r="BF57" i="21" s="1"/>
  <c r="AE36" i="21"/>
  <c r="AE70" i="21"/>
  <c r="AE44" i="21"/>
  <c r="T70" i="21"/>
  <c r="BI70" i="21" s="1"/>
  <c r="AI89" i="21"/>
  <c r="R72" i="21"/>
  <c r="T72" i="21" s="1"/>
  <c r="BI72" i="21" s="1"/>
  <c r="AV44" i="21"/>
  <c r="BM44" i="21" s="1"/>
  <c r="AV66" i="21"/>
  <c r="BM66" i="21" s="1"/>
  <c r="AV26" i="21"/>
  <c r="BM26" i="21" s="1"/>
  <c r="AV55" i="21"/>
  <c r="BM55" i="21" s="1"/>
  <c r="R53" i="21"/>
  <c r="T53" i="21" s="1"/>
  <c r="BI53" i="21" s="1"/>
  <c r="AS70" i="21"/>
  <c r="AV101" i="21"/>
  <c r="BM101" i="21" s="1"/>
  <c r="AI63" i="21"/>
  <c r="R44" i="21"/>
  <c r="T44" i="21" s="1"/>
  <c r="BI44" i="21" s="1"/>
  <c r="BJ143" i="20"/>
  <c r="AR20" i="21"/>
  <c r="AI56" i="21"/>
  <c r="AS74" i="21"/>
  <c r="R59" i="21"/>
  <c r="T59" i="21" s="1"/>
  <c r="BI59" i="21" s="1"/>
  <c r="AV68" i="21"/>
  <c r="BM68" i="21" s="1"/>
  <c r="AE85" i="21"/>
  <c r="AR109" i="21"/>
  <c r="T58" i="21"/>
  <c r="BI58" i="21" s="1"/>
  <c r="AR62" i="21"/>
  <c r="AI99" i="21"/>
  <c r="AV93" i="21"/>
  <c r="BM93" i="21" s="1"/>
  <c r="AV29" i="21"/>
  <c r="BM29" i="21" s="1"/>
  <c r="AV28" i="21"/>
  <c r="BM28" i="21" s="1"/>
  <c r="R102" i="21"/>
  <c r="T102" i="21" s="1"/>
  <c r="BI102" i="21" s="1"/>
  <c r="AN76" i="20"/>
  <c r="T105" i="21"/>
  <c r="BI105" i="21" s="1"/>
  <c r="AG59" i="21"/>
  <c r="AI59" i="21" s="1"/>
  <c r="AV30" i="21"/>
  <c r="BM30" i="21" s="1"/>
  <c r="AV63" i="21"/>
  <c r="BM63" i="21" s="1"/>
  <c r="AR10" i="21"/>
  <c r="AI55" i="21"/>
  <c r="AV74" i="21"/>
  <c r="BM74" i="21" s="1"/>
  <c r="AI76" i="21"/>
  <c r="T94" i="21"/>
  <c r="BI94" i="21" s="1"/>
  <c r="AV18" i="21"/>
  <c r="BM18" i="21" s="1"/>
  <c r="AV53" i="21"/>
  <c r="BM53" i="21" s="1"/>
  <c r="AN47" i="21"/>
  <c r="BK47" i="21" s="1"/>
  <c r="BE47" i="21" s="1"/>
  <c r="AN55" i="21"/>
  <c r="BK55" i="21" s="1"/>
  <c r="BE55" i="21" s="1"/>
  <c r="AE81" i="21"/>
  <c r="AR83" i="21"/>
  <c r="AN59" i="21"/>
  <c r="AN66" i="21"/>
  <c r="AN41" i="21"/>
  <c r="AV98" i="21"/>
  <c r="BM98" i="21" s="1"/>
  <c r="AN76" i="21"/>
  <c r="BK76" i="21" s="1"/>
  <c r="BE76" i="21" s="1"/>
  <c r="AR63" i="21"/>
  <c r="AN63" i="21"/>
  <c r="BK63" i="21" s="1"/>
  <c r="BE63" i="21" s="1"/>
  <c r="AQ45" i="20"/>
  <c r="AQ58" i="20"/>
  <c r="AF45" i="20"/>
  <c r="AG45" i="20" s="1"/>
  <c r="AI188" i="20"/>
  <c r="BF188" i="20" s="1"/>
  <c r="AE129" i="20"/>
  <c r="BE129" i="20" s="1"/>
  <c r="AE111" i="20"/>
  <c r="BE111" i="20" s="1"/>
  <c r="AE153" i="20"/>
  <c r="BE153" i="20" s="1"/>
  <c r="AE169" i="20"/>
  <c r="BE169" i="20" s="1"/>
  <c r="AE195" i="20"/>
  <c r="AE168" i="20"/>
  <c r="BE168" i="20" s="1"/>
  <c r="AE197" i="20"/>
  <c r="BE197" i="20" s="1"/>
  <c r="AE201" i="20"/>
  <c r="BE201" i="20" s="1"/>
  <c r="AE136" i="20"/>
  <c r="BE136" i="20" s="1"/>
  <c r="AE120" i="20"/>
  <c r="BE120" i="20" s="1"/>
  <c r="AE130" i="20"/>
  <c r="AI198" i="20"/>
  <c r="BF198" i="20" s="1"/>
  <c r="AE194" i="20"/>
  <c r="AI200" i="20"/>
  <c r="BF200" i="20" s="1"/>
  <c r="AE149" i="20"/>
  <c r="AE126" i="20"/>
  <c r="BE126" i="20" s="1"/>
  <c r="AE165" i="20"/>
  <c r="BE165" i="20" s="1"/>
  <c r="AE157" i="20"/>
  <c r="BE157" i="20" s="1"/>
  <c r="AE83" i="20"/>
  <c r="BE83" i="20" s="1"/>
  <c r="AR55" i="21"/>
  <c r="AN62" i="21"/>
  <c r="BK62" i="21" s="1"/>
  <c r="BE62" i="21" s="1"/>
  <c r="AE67" i="21"/>
  <c r="AG9" i="21"/>
  <c r="AI9" i="21" s="1"/>
  <c r="BL9" i="21" s="1"/>
  <c r="BF9" i="21" s="1"/>
  <c r="AV9" i="21"/>
  <c r="BM9" i="21" s="1"/>
  <c r="AG14" i="21"/>
  <c r="AI14" i="21" s="1"/>
  <c r="AV14" i="21"/>
  <c r="BM14" i="21" s="1"/>
  <c r="AS62" i="21"/>
  <c r="R62" i="21"/>
  <c r="T62" i="21" s="1"/>
  <c r="BI62" i="21" s="1"/>
  <c r="AS93" i="21"/>
  <c r="R93" i="21"/>
  <c r="T93" i="21" s="1"/>
  <c r="BI93" i="21" s="1"/>
  <c r="AR24" i="21"/>
  <c r="AN75" i="20"/>
  <c r="AN68" i="20"/>
  <c r="AV70" i="21"/>
  <c r="BM70" i="21" s="1"/>
  <c r="AS15" i="21"/>
  <c r="AS30" i="21"/>
  <c r="R76" i="21"/>
  <c r="T76" i="21" s="1"/>
  <c r="BI76" i="21" s="1"/>
  <c r="R24" i="21"/>
  <c r="T24" i="21" s="1"/>
  <c r="BI24" i="21" s="1"/>
  <c r="AV47" i="21"/>
  <c r="BM47" i="21" s="1"/>
  <c r="AN44" i="21"/>
  <c r="AN57" i="21"/>
  <c r="AI42" i="21"/>
  <c r="AR68" i="21"/>
  <c r="BL68" i="21" s="1"/>
  <c r="BF68" i="21" s="1"/>
  <c r="AS97" i="21"/>
  <c r="R97" i="21"/>
  <c r="T97" i="21" s="1"/>
  <c r="BI97" i="21" s="1"/>
  <c r="AS98" i="21"/>
  <c r="R98" i="21"/>
  <c r="T98" i="21" s="1"/>
  <c r="BI98" i="21" s="1"/>
  <c r="AN78" i="20"/>
  <c r="AN71" i="20"/>
  <c r="AR17" i="21"/>
  <c r="AI87" i="21"/>
  <c r="AR32" i="21"/>
  <c r="AI85" i="21"/>
  <c r="AR50" i="21"/>
  <c r="AR41" i="21"/>
  <c r="AR23" i="21"/>
  <c r="T90" i="21"/>
  <c r="BI90" i="21" s="1"/>
  <c r="AN45" i="21"/>
  <c r="AN58" i="21"/>
  <c r="AN53" i="21"/>
  <c r="AN43" i="21"/>
  <c r="AR98" i="21"/>
  <c r="BL98" i="21" s="1"/>
  <c r="BF98" i="21" s="1"/>
  <c r="AR81" i="21"/>
  <c r="AR90" i="21"/>
  <c r="AN80" i="21"/>
  <c r="AN100" i="21"/>
  <c r="AR56" i="21"/>
  <c r="AR101" i="21"/>
  <c r="AR45" i="21"/>
  <c r="AV25" i="21"/>
  <c r="BM25" i="21" s="1"/>
  <c r="AN67" i="21"/>
  <c r="AN70" i="21"/>
  <c r="AM53" i="20"/>
  <c r="AS57" i="21"/>
  <c r="AE60" i="20"/>
  <c r="BE60" i="20" s="1"/>
  <c r="AI40" i="20"/>
  <c r="BK40" i="20" s="1"/>
  <c r="AE75" i="20"/>
  <c r="BE75" i="20" s="1"/>
  <c r="AE100" i="20"/>
  <c r="BE100" i="20" s="1"/>
  <c r="AF33" i="20"/>
  <c r="AG33" i="20" s="1"/>
  <c r="AQ53" i="20"/>
  <c r="AR53" i="20" s="1"/>
  <c r="AA49" i="20"/>
  <c r="AB49" i="20" s="1"/>
  <c r="AQ41" i="20"/>
  <c r="AJ49" i="20"/>
  <c r="AK49" i="20" s="1"/>
  <c r="AN49" i="20" s="1"/>
  <c r="AQ42" i="20"/>
  <c r="AJ53" i="20"/>
  <c r="AK53" i="20" s="1"/>
  <c r="AA37" i="20"/>
  <c r="AB37" i="20" s="1"/>
  <c r="AO34" i="20"/>
  <c r="AP34" i="20" s="1"/>
  <c r="AH34" i="20"/>
  <c r="AI34" i="20" s="1"/>
  <c r="BK34" i="20" s="1"/>
  <c r="AI117" i="20"/>
  <c r="BF117" i="20" s="1"/>
  <c r="AI150" i="20"/>
  <c r="BF150" i="20" s="1"/>
  <c r="AI142" i="20"/>
  <c r="BF142" i="20" s="1"/>
  <c r="AE67" i="20"/>
  <c r="BE67" i="20" s="1"/>
  <c r="AE142" i="20"/>
  <c r="BE142" i="20" s="1"/>
  <c r="T15" i="21"/>
  <c r="BI15" i="21" s="1"/>
  <c r="T30" i="21"/>
  <c r="BI30" i="21" s="1"/>
  <c r="AN22" i="20"/>
  <c r="AI22" i="20"/>
  <c r="BK22" i="20" s="1"/>
  <c r="BF116" i="20"/>
  <c r="BB116" i="20"/>
  <c r="BD116" i="20" s="1"/>
  <c r="BH116" i="20" s="1"/>
  <c r="BJ116" i="20"/>
  <c r="BK116" i="20"/>
  <c r="AI9" i="20"/>
  <c r="AI11" i="20"/>
  <c r="AE51" i="20"/>
  <c r="BE51" i="20" s="1"/>
  <c r="AE92" i="20"/>
  <c r="BE92" i="20" s="1"/>
  <c r="AE87" i="20"/>
  <c r="BE87" i="20" s="1"/>
  <c r="AN40" i="20"/>
  <c r="AR79" i="20"/>
  <c r="AR71" i="20"/>
  <c r="AE180" i="20"/>
  <c r="BE180" i="20" s="1"/>
  <c r="AE164" i="20"/>
  <c r="AE158" i="20"/>
  <c r="BE158" i="20" s="1"/>
  <c r="AE170" i="20"/>
  <c r="AE154" i="20"/>
  <c r="BE154" i="20" s="1"/>
  <c r="AE138" i="20"/>
  <c r="BE138" i="20" s="1"/>
  <c r="AE114" i="20"/>
  <c r="BE114" i="20" s="1"/>
  <c r="AE135" i="20"/>
  <c r="BE135" i="20" s="1"/>
  <c r="AE190" i="20"/>
  <c r="BE190" i="20" s="1"/>
  <c r="AE192" i="20"/>
  <c r="BE192" i="20" s="1"/>
  <c r="AE207" i="20"/>
  <c r="BE207" i="20" s="1"/>
  <c r="AE205" i="20"/>
  <c r="BE205" i="20" s="1"/>
  <c r="AE147" i="20"/>
  <c r="BE147" i="20" s="1"/>
  <c r="AE131" i="20"/>
  <c r="BE131" i="20" s="1"/>
  <c r="AE123" i="20"/>
  <c r="BE123" i="20" s="1"/>
  <c r="AE148" i="20"/>
  <c r="AE127" i="20"/>
  <c r="BE127" i="20" s="1"/>
  <c r="AE178" i="20"/>
  <c r="BE178" i="20" s="1"/>
  <c r="AI146" i="20"/>
  <c r="BF146" i="20" s="1"/>
  <c r="AI119" i="20"/>
  <c r="BF119" i="20" s="1"/>
  <c r="AE125" i="20"/>
  <c r="BE125" i="20" s="1"/>
  <c r="AE184" i="20"/>
  <c r="BE184" i="20" s="1"/>
  <c r="AI176" i="20"/>
  <c r="BF176" i="20" s="1"/>
  <c r="AE176" i="20"/>
  <c r="AE187" i="20"/>
  <c r="BE187" i="20" s="1"/>
  <c r="AE113" i="20"/>
  <c r="BE113" i="20" s="1"/>
  <c r="AE140" i="20"/>
  <c r="BE140" i="20" s="1"/>
  <c r="AE141" i="20"/>
  <c r="BE141" i="20" s="1"/>
  <c r="AE163" i="20"/>
  <c r="BE163" i="20" s="1"/>
  <c r="AR83" i="20"/>
  <c r="AI183" i="20"/>
  <c r="BK183" i="20" s="1"/>
  <c r="AN9" i="20"/>
  <c r="BE9" i="20" s="1"/>
  <c r="AI56" i="20"/>
  <c r="BF56" i="20" s="1"/>
  <c r="AE79" i="20"/>
  <c r="BE79" i="20" s="1"/>
  <c r="AE68" i="20"/>
  <c r="AE95" i="20"/>
  <c r="BE95" i="20" s="1"/>
  <c r="AE84" i="20"/>
  <c r="BE84" i="20" s="1"/>
  <c r="AE182" i="20"/>
  <c r="BE182" i="20" s="1"/>
  <c r="AE124" i="20"/>
  <c r="AI118" i="20"/>
  <c r="BF118" i="20" s="1"/>
  <c r="AE145" i="20"/>
  <c r="BE145" i="20" s="1"/>
  <c r="AE121" i="20"/>
  <c r="BE121" i="20" s="1"/>
  <c r="AE144" i="20"/>
  <c r="BE144" i="20" s="1"/>
  <c r="AE128" i="20"/>
  <c r="BE128" i="20" s="1"/>
  <c r="AI203" i="20"/>
  <c r="BF203" i="20" s="1"/>
  <c r="AE133" i="20"/>
  <c r="BE133" i="20" s="1"/>
  <c r="AE110" i="20"/>
  <c r="BE110" i="20" s="1"/>
  <c r="AI165" i="20"/>
  <c r="BF165" i="20" s="1"/>
  <c r="AE174" i="20"/>
  <c r="BE174" i="20" s="1"/>
  <c r="BF196" i="20"/>
  <c r="BK196" i="20"/>
  <c r="AV87" i="21"/>
  <c r="BM87" i="21" s="1"/>
  <c r="AV64" i="21"/>
  <c r="BM64" i="21" s="1"/>
  <c r="AV85" i="21"/>
  <c r="BM85" i="21" s="1"/>
  <c r="AV22" i="21"/>
  <c r="BM22" i="21" s="1"/>
  <c r="AV20" i="21"/>
  <c r="BM20" i="21" s="1"/>
  <c r="AR14" i="21"/>
  <c r="T55" i="21"/>
  <c r="BI55" i="21" s="1"/>
  <c r="AN20" i="21"/>
  <c r="AR18" i="21"/>
  <c r="AN18" i="21"/>
  <c r="AV109" i="21"/>
  <c r="BM109" i="21" s="1"/>
  <c r="AI107" i="21"/>
  <c r="AR46" i="21"/>
  <c r="AN37" i="21"/>
  <c r="AI61" i="21"/>
  <c r="AI64" i="21"/>
  <c r="AV45" i="21"/>
  <c r="BM45" i="21" s="1"/>
  <c r="AV62" i="21"/>
  <c r="BM62" i="21" s="1"/>
  <c r="AS81" i="21"/>
  <c r="AN109" i="21"/>
  <c r="BK109" i="21" s="1"/>
  <c r="BE109" i="21" s="1"/>
  <c r="AR93" i="21"/>
  <c r="AN93" i="21"/>
  <c r="BK93" i="21" s="1"/>
  <c r="BE93" i="21" s="1"/>
  <c r="AN68" i="21"/>
  <c r="AR84" i="21"/>
  <c r="BL84" i="21" s="1"/>
  <c r="BF84" i="21" s="1"/>
  <c r="AR106" i="21"/>
  <c r="T57" i="21"/>
  <c r="BI57" i="21" s="1"/>
  <c r="AI91" i="21"/>
  <c r="AI46" i="21"/>
  <c r="AV11" i="21"/>
  <c r="BM11" i="21" s="1"/>
  <c r="AV15" i="21"/>
  <c r="BM15" i="21" s="1"/>
  <c r="AN39" i="21"/>
  <c r="AV21" i="21"/>
  <c r="BM21" i="21" s="1"/>
  <c r="AV24" i="21"/>
  <c r="BM24" i="21" s="1"/>
  <c r="AS101" i="21"/>
  <c r="AR52" i="21"/>
  <c r="AR54" i="21"/>
  <c r="AK25" i="21"/>
  <c r="AN25" i="21" s="1"/>
  <c r="AV91" i="21"/>
  <c r="BM91" i="21" s="1"/>
  <c r="AI28" i="21"/>
  <c r="AI21" i="21"/>
  <c r="AI24" i="21"/>
  <c r="AI32" i="21"/>
  <c r="AI12" i="21"/>
  <c r="AI16" i="21"/>
  <c r="AI25" i="21"/>
  <c r="AI34" i="21"/>
  <c r="AI11" i="21"/>
  <c r="AI15" i="21"/>
  <c r="AI26" i="21"/>
  <c r="AN84" i="21"/>
  <c r="AN98" i="21"/>
  <c r="AN81" i="21"/>
  <c r="AN106" i="21"/>
  <c r="AN90" i="21"/>
  <c r="AN95" i="21"/>
  <c r="AN42" i="21"/>
  <c r="AN11" i="21"/>
  <c r="BK11" i="21" s="1"/>
  <c r="BE11" i="21" s="1"/>
  <c r="AN30" i="21"/>
  <c r="BK30" i="21" s="1"/>
  <c r="BE30" i="21" s="1"/>
  <c r="AN22" i="21"/>
  <c r="BK22" i="21" s="1"/>
  <c r="BE22" i="21" s="1"/>
  <c r="AN9" i="21"/>
  <c r="AN21" i="21"/>
  <c r="BK21" i="21" s="1"/>
  <c r="BE21" i="21" s="1"/>
  <c r="AN24" i="21"/>
  <c r="BK24" i="21" s="1"/>
  <c r="BE24" i="21" s="1"/>
  <c r="AN54" i="21"/>
  <c r="AN49" i="21"/>
  <c r="AN15" i="21"/>
  <c r="BK15" i="21" s="1"/>
  <c r="BE15" i="21" s="1"/>
  <c r="AN36" i="21"/>
  <c r="AN14" i="21"/>
  <c r="BK14" i="21" s="1"/>
  <c r="BE14" i="21" s="1"/>
  <c r="AN35" i="21"/>
  <c r="AN52" i="21"/>
  <c r="AN48" i="21"/>
  <c r="AI20" i="21"/>
  <c r="AI29" i="21"/>
  <c r="AR27" i="21"/>
  <c r="AR51" i="21"/>
  <c r="AR28" i="21"/>
  <c r="AR26" i="21"/>
  <c r="AN26" i="21"/>
  <c r="AR19" i="21"/>
  <c r="AR38" i="21"/>
  <c r="AR16" i="21"/>
  <c r="AN40" i="21"/>
  <c r="AN105" i="21"/>
  <c r="BK105" i="21" s="1"/>
  <c r="BE105" i="21" s="1"/>
  <c r="AR72" i="21"/>
  <c r="BL72" i="21" s="1"/>
  <c r="BF72" i="21" s="1"/>
  <c r="AN94" i="21"/>
  <c r="AR82" i="21"/>
  <c r="AN77" i="21"/>
  <c r="BK77" i="21" s="1"/>
  <c r="BE77" i="21" s="1"/>
  <c r="AN87" i="21"/>
  <c r="AN88" i="21"/>
  <c r="AN79" i="21"/>
  <c r="AN73" i="21"/>
  <c r="AR108" i="21"/>
  <c r="AN104" i="21"/>
  <c r="AR96" i="21"/>
  <c r="AR92" i="21"/>
  <c r="AN60" i="21"/>
  <c r="AR64" i="21"/>
  <c r="AN69" i="21"/>
  <c r="BK69" i="21" s="1"/>
  <c r="BE69" i="21" s="1"/>
  <c r="AR86" i="21"/>
  <c r="AN101" i="21"/>
  <c r="BK101" i="21" s="1"/>
  <c r="BE101" i="21" s="1"/>
  <c r="AR59" i="21"/>
  <c r="AN97" i="21"/>
  <c r="BK97" i="21" s="1"/>
  <c r="BE97" i="21" s="1"/>
  <c r="AN102" i="21"/>
  <c r="AR89" i="21"/>
  <c r="AN78" i="21"/>
  <c r="AR71" i="21"/>
  <c r="AN107" i="21"/>
  <c r="AR103" i="21"/>
  <c r="AR99" i="21"/>
  <c r="AN91" i="21"/>
  <c r="AN46" i="21"/>
  <c r="AN61" i="21"/>
  <c r="AR65" i="21"/>
  <c r="AR75" i="21"/>
  <c r="AR85" i="21"/>
  <c r="AE87" i="21"/>
  <c r="AE27" i="21"/>
  <c r="AE49" i="21"/>
  <c r="AE73" i="21"/>
  <c r="AE10" i="21"/>
  <c r="AE48" i="21"/>
  <c r="AE20" i="21"/>
  <c r="AE68" i="21"/>
  <c r="AE72" i="21"/>
  <c r="AE39" i="21"/>
  <c r="AE54" i="21"/>
  <c r="AE106" i="21"/>
  <c r="AE102" i="21"/>
  <c r="AE98" i="21"/>
  <c r="AE94" i="21"/>
  <c r="AE51" i="21"/>
  <c r="AE18" i="21"/>
  <c r="AE25" i="21"/>
  <c r="AE41" i="21"/>
  <c r="AE31" i="21"/>
  <c r="AE34" i="21"/>
  <c r="AE50" i="21"/>
  <c r="AE35" i="21"/>
  <c r="AE71" i="21"/>
  <c r="AE107" i="21"/>
  <c r="AE103" i="21"/>
  <c r="AE99" i="21"/>
  <c r="AE95" i="21"/>
  <c r="AE91" i="21"/>
  <c r="AE42" i="21"/>
  <c r="BK42" i="21" s="1"/>
  <c r="BE42" i="21" s="1"/>
  <c r="AE17" i="21"/>
  <c r="AE23" i="21"/>
  <c r="AE37" i="21"/>
  <c r="AE79" i="21"/>
  <c r="AE40" i="21"/>
  <c r="AR29" i="21"/>
  <c r="AN29" i="21"/>
  <c r="AN28" i="21"/>
  <c r="AR13" i="21"/>
  <c r="AN38" i="21"/>
  <c r="AR49" i="21"/>
  <c r="AR12" i="21"/>
  <c r="AR33" i="21"/>
  <c r="AR48" i="21"/>
  <c r="AR31" i="21"/>
  <c r="AR40" i="21"/>
  <c r="AR105" i="21"/>
  <c r="AN83" i="21"/>
  <c r="BK83" i="21" s="1"/>
  <c r="BE83" i="21" s="1"/>
  <c r="AN72" i="21"/>
  <c r="AR94" i="21"/>
  <c r="BL94" i="21" s="1"/>
  <c r="BF94" i="21" s="1"/>
  <c r="AN82" i="21"/>
  <c r="AR77" i="21"/>
  <c r="AR87" i="21"/>
  <c r="AR80" i="21"/>
  <c r="AR88" i="21"/>
  <c r="AR79" i="21"/>
  <c r="AR73" i="21"/>
  <c r="AN108" i="21"/>
  <c r="AR104" i="21"/>
  <c r="AR100" i="21"/>
  <c r="AN96" i="21"/>
  <c r="AN92" i="21"/>
  <c r="AN51" i="21"/>
  <c r="AR60" i="21"/>
  <c r="AN64" i="21"/>
  <c r="AR69" i="21"/>
  <c r="AN86" i="21"/>
  <c r="BK86" i="21" s="1"/>
  <c r="BE86" i="21" s="1"/>
  <c r="AR97" i="21"/>
  <c r="AR102" i="21"/>
  <c r="BL102" i="21" s="1"/>
  <c r="BF102" i="21" s="1"/>
  <c r="AN89" i="21"/>
  <c r="BK89" i="21" s="1"/>
  <c r="BE89" i="21" s="1"/>
  <c r="AR78" i="21"/>
  <c r="AN71" i="21"/>
  <c r="AR107" i="21"/>
  <c r="AN103" i="21"/>
  <c r="AN99" i="21"/>
  <c r="AR95" i="21"/>
  <c r="AR91" i="21"/>
  <c r="AR61" i="21"/>
  <c r="AN65" i="21"/>
  <c r="AN75" i="21"/>
  <c r="BK75" i="21" s="1"/>
  <c r="BE75" i="21" s="1"/>
  <c r="AN85" i="21"/>
  <c r="AN50" i="21"/>
  <c r="AR43" i="21"/>
  <c r="AE78" i="21"/>
  <c r="AE28" i="21"/>
  <c r="AI27" i="21"/>
  <c r="AE84" i="21"/>
  <c r="AE108" i="21"/>
  <c r="AE104" i="21"/>
  <c r="AE100" i="21"/>
  <c r="AE96" i="21"/>
  <c r="AE92" i="21"/>
  <c r="AI10" i="21"/>
  <c r="R21" i="21"/>
  <c r="T21" i="21" s="1"/>
  <c r="BI21" i="21" s="1"/>
  <c r="AS21" i="21"/>
  <c r="AI33" i="21"/>
  <c r="AE33" i="21"/>
  <c r="AE46" i="21"/>
  <c r="AE59" i="21"/>
  <c r="AI13" i="21"/>
  <c r="AE13" i="21"/>
  <c r="AI19" i="21"/>
  <c r="AE19" i="21"/>
  <c r="AE29" i="21"/>
  <c r="AE45" i="21"/>
  <c r="AE38" i="21"/>
  <c r="AE61" i="21"/>
  <c r="AE65" i="21"/>
  <c r="AI22" i="21"/>
  <c r="AE80" i="21"/>
  <c r="AE88" i="21"/>
  <c r="AE32" i="21"/>
  <c r="AI18" i="21"/>
  <c r="AE12" i="21"/>
  <c r="AE16" i="21"/>
  <c r="AE56" i="21"/>
  <c r="AI31" i="21"/>
  <c r="BL31" i="21" s="1"/>
  <c r="BF31" i="21" s="1"/>
  <c r="AE60" i="21"/>
  <c r="AE64" i="21"/>
  <c r="AI17" i="21"/>
  <c r="AI23" i="21"/>
  <c r="AE52" i="21"/>
  <c r="AI30" i="21"/>
  <c r="AE26" i="21"/>
  <c r="AE43" i="21"/>
  <c r="AE57" i="21"/>
  <c r="AE82" i="21"/>
  <c r="AE90" i="21"/>
  <c r="AV102" i="21"/>
  <c r="BM102" i="21" s="1"/>
  <c r="R83" i="21"/>
  <c r="T83" i="21" s="1"/>
  <c r="BI83" i="21" s="1"/>
  <c r="AV57" i="21"/>
  <c r="BM57" i="21" s="1"/>
  <c r="AV61" i="21"/>
  <c r="BM61" i="21" s="1"/>
  <c r="R45" i="21"/>
  <c r="T45" i="21" s="1"/>
  <c r="BI45" i="21" s="1"/>
  <c r="T106" i="21"/>
  <c r="BI106" i="21" s="1"/>
  <c r="T109" i="21"/>
  <c r="AV97" i="21"/>
  <c r="BM97" i="21" s="1"/>
  <c r="T81" i="21"/>
  <c r="BI81" i="21" s="1"/>
  <c r="AV84" i="21"/>
  <c r="BM84" i="21" s="1"/>
  <c r="AV81" i="21"/>
  <c r="BM81" i="21" s="1"/>
  <c r="AV43" i="21"/>
  <c r="BM43" i="21" s="1"/>
  <c r="AV90" i="21"/>
  <c r="BM90" i="21" s="1"/>
  <c r="T101" i="21"/>
  <c r="AV72" i="21"/>
  <c r="BM72" i="21" s="1"/>
  <c r="AV106" i="21"/>
  <c r="BM106" i="21" s="1"/>
  <c r="AV89" i="21"/>
  <c r="BM89" i="21" s="1"/>
  <c r="AV82" i="21"/>
  <c r="BM82" i="21" s="1"/>
  <c r="AV107" i="21"/>
  <c r="BM107" i="21" s="1"/>
  <c r="R49" i="21"/>
  <c r="T49" i="21" s="1"/>
  <c r="BI49" i="21" s="1"/>
  <c r="AS49" i="21"/>
  <c r="R46" i="21"/>
  <c r="T46" i="21" s="1"/>
  <c r="BI46" i="21" s="1"/>
  <c r="AS46" i="21"/>
  <c r="R36" i="21"/>
  <c r="T36" i="21" s="1"/>
  <c r="BI36" i="21" s="1"/>
  <c r="AS36" i="21"/>
  <c r="R35" i="21"/>
  <c r="T35" i="21" s="1"/>
  <c r="BI35" i="21" s="1"/>
  <c r="AS35" i="21"/>
  <c r="R38" i="21"/>
  <c r="T38" i="21" s="1"/>
  <c r="BI38" i="21" s="1"/>
  <c r="AS38" i="21"/>
  <c r="R52" i="21"/>
  <c r="T52" i="21" s="1"/>
  <c r="BI52" i="21" s="1"/>
  <c r="AS52" i="21"/>
  <c r="R54" i="21"/>
  <c r="T54" i="21" s="1"/>
  <c r="BI54" i="21" s="1"/>
  <c r="AS54" i="21"/>
  <c r="R56" i="21"/>
  <c r="T56" i="21" s="1"/>
  <c r="BI56" i="21" s="1"/>
  <c r="AS56" i="21"/>
  <c r="R43" i="21"/>
  <c r="T43" i="21" s="1"/>
  <c r="AS43" i="21"/>
  <c r="R51" i="21"/>
  <c r="T51" i="21" s="1"/>
  <c r="BI51" i="21" s="1"/>
  <c r="AS51" i="21"/>
  <c r="R41" i="21"/>
  <c r="T41" i="21" s="1"/>
  <c r="BI41" i="21" s="1"/>
  <c r="AS41" i="21"/>
  <c r="R40" i="21"/>
  <c r="T40" i="21" s="1"/>
  <c r="BI40" i="21" s="1"/>
  <c r="AS40" i="21"/>
  <c r="R42" i="21"/>
  <c r="T42" i="21" s="1"/>
  <c r="BI42" i="21" s="1"/>
  <c r="AS42" i="21"/>
  <c r="AV83" i="21"/>
  <c r="BM83" i="21" s="1"/>
  <c r="AV94" i="21"/>
  <c r="BM94" i="21" s="1"/>
  <c r="R50" i="21"/>
  <c r="T50" i="21" s="1"/>
  <c r="BI50" i="21" s="1"/>
  <c r="AS50" i="21"/>
  <c r="AV105" i="21"/>
  <c r="BM105" i="21" s="1"/>
  <c r="R37" i="21"/>
  <c r="T37" i="21" s="1"/>
  <c r="AS37" i="21"/>
  <c r="R39" i="21"/>
  <c r="T39" i="21" s="1"/>
  <c r="AS39" i="21"/>
  <c r="R48" i="21"/>
  <c r="T48" i="21" s="1"/>
  <c r="BI48" i="21" s="1"/>
  <c r="AS48" i="21"/>
  <c r="AV99" i="21"/>
  <c r="BM99" i="21" s="1"/>
  <c r="AG41" i="21"/>
  <c r="AI41" i="21" s="1"/>
  <c r="AV41" i="21"/>
  <c r="BM41" i="21" s="1"/>
  <c r="AG71" i="21"/>
  <c r="AI71" i="21" s="1"/>
  <c r="AV71" i="21"/>
  <c r="BM71" i="21" s="1"/>
  <c r="AG95" i="21"/>
  <c r="AI95" i="21" s="1"/>
  <c r="AV95" i="21"/>
  <c r="BM95" i="21" s="1"/>
  <c r="R20" i="21"/>
  <c r="T20" i="21" s="1"/>
  <c r="AS20" i="21"/>
  <c r="AG38" i="21"/>
  <c r="AI38" i="21" s="1"/>
  <c r="AV38" i="21"/>
  <c r="BM38" i="21" s="1"/>
  <c r="AG65" i="21"/>
  <c r="AI65" i="21" s="1"/>
  <c r="AV65" i="21"/>
  <c r="BM65" i="21" s="1"/>
  <c r="BI67" i="21"/>
  <c r="AG88" i="21"/>
  <c r="AI88" i="21" s="1"/>
  <c r="AV88" i="21"/>
  <c r="BM88" i="21" s="1"/>
  <c r="AG100" i="21"/>
  <c r="AI100" i="21" s="1"/>
  <c r="AV100" i="21"/>
  <c r="BM100" i="21" s="1"/>
  <c r="AG51" i="21"/>
  <c r="AI51" i="21" s="1"/>
  <c r="AV51" i="21"/>
  <c r="BM51" i="21" s="1"/>
  <c r="R18" i="21"/>
  <c r="T18" i="21" s="1"/>
  <c r="AS18" i="21"/>
  <c r="AG60" i="21"/>
  <c r="AI60" i="21" s="1"/>
  <c r="AV60" i="21"/>
  <c r="BM60" i="21" s="1"/>
  <c r="AG75" i="21"/>
  <c r="AI75" i="21" s="1"/>
  <c r="AV75" i="21"/>
  <c r="BM75" i="21" s="1"/>
  <c r="R71" i="21"/>
  <c r="T71" i="21" s="1"/>
  <c r="AS71" i="21"/>
  <c r="R99" i="21"/>
  <c r="T99" i="21" s="1"/>
  <c r="AS99" i="21"/>
  <c r="R17" i="21"/>
  <c r="T17" i="21" s="1"/>
  <c r="AS17" i="21"/>
  <c r="AK17" i="21"/>
  <c r="AN17" i="21" s="1"/>
  <c r="AV17" i="21"/>
  <c r="BM17" i="21" s="1"/>
  <c r="R108" i="21"/>
  <c r="T108" i="21" s="1"/>
  <c r="AS108" i="21"/>
  <c r="R92" i="21"/>
  <c r="T92" i="21" s="1"/>
  <c r="AS92" i="21"/>
  <c r="AK32" i="21"/>
  <c r="AN32" i="21" s="1"/>
  <c r="AV32" i="21"/>
  <c r="BM32" i="21" s="1"/>
  <c r="R32" i="21"/>
  <c r="T32" i="21" s="1"/>
  <c r="AS32" i="21"/>
  <c r="R10" i="21"/>
  <c r="T10" i="21" s="1"/>
  <c r="AS10" i="21"/>
  <c r="AK10" i="21"/>
  <c r="AN10" i="21" s="1"/>
  <c r="AV10" i="21"/>
  <c r="BM10" i="21" s="1"/>
  <c r="R34" i="21"/>
  <c r="T34" i="21" s="1"/>
  <c r="AS34" i="21"/>
  <c r="AK34" i="21"/>
  <c r="AN34" i="21" s="1"/>
  <c r="AV34" i="21"/>
  <c r="BM34" i="21" s="1"/>
  <c r="AG37" i="21"/>
  <c r="AI37" i="21" s="1"/>
  <c r="AV37" i="21"/>
  <c r="BM37" i="21" s="1"/>
  <c r="AG52" i="21"/>
  <c r="AI52" i="21" s="1"/>
  <c r="AV52" i="21"/>
  <c r="BM52" i="21" s="1"/>
  <c r="AG39" i="21"/>
  <c r="AI39" i="21" s="1"/>
  <c r="AV39" i="21"/>
  <c r="BM39" i="21" s="1"/>
  <c r="AG54" i="21"/>
  <c r="AI54" i="21" s="1"/>
  <c r="AV54" i="21"/>
  <c r="BM54" i="21" s="1"/>
  <c r="AG80" i="21"/>
  <c r="AI80" i="21" s="1"/>
  <c r="AV80" i="21"/>
  <c r="BM80" i="21" s="1"/>
  <c r="BI66" i="21"/>
  <c r="R95" i="21"/>
  <c r="T95" i="21" s="1"/>
  <c r="AS95" i="21"/>
  <c r="AK19" i="21"/>
  <c r="AN19" i="21" s="1"/>
  <c r="AV19" i="21"/>
  <c r="BM19" i="21" s="1"/>
  <c r="R19" i="21"/>
  <c r="T19" i="21" s="1"/>
  <c r="AS19" i="21"/>
  <c r="R23" i="21"/>
  <c r="T23" i="21" s="1"/>
  <c r="AS23" i="21"/>
  <c r="AK23" i="21"/>
  <c r="AV23" i="21"/>
  <c r="BM23" i="21" s="1"/>
  <c r="R65" i="21"/>
  <c r="T65" i="21" s="1"/>
  <c r="AS65" i="21"/>
  <c r="R77" i="21"/>
  <c r="T77" i="21" s="1"/>
  <c r="AS77" i="21"/>
  <c r="R80" i="21"/>
  <c r="T80" i="21" s="1"/>
  <c r="AS80" i="21"/>
  <c r="R79" i="21"/>
  <c r="T79" i="21" s="1"/>
  <c r="AS79" i="21"/>
  <c r="R104" i="21"/>
  <c r="T104" i="21" s="1"/>
  <c r="AS104" i="21"/>
  <c r="AK12" i="21"/>
  <c r="AN12" i="21" s="1"/>
  <c r="AV12" i="21"/>
  <c r="BM12" i="21" s="1"/>
  <c r="R12" i="21"/>
  <c r="T12" i="21" s="1"/>
  <c r="AS12" i="21"/>
  <c r="AK31" i="21"/>
  <c r="AN31" i="21" s="1"/>
  <c r="AV31" i="21"/>
  <c r="BM31" i="21" s="1"/>
  <c r="R31" i="21"/>
  <c r="T31" i="21" s="1"/>
  <c r="AS31" i="21"/>
  <c r="AG103" i="21"/>
  <c r="AI103" i="21" s="1"/>
  <c r="AV103" i="21"/>
  <c r="BM103" i="21" s="1"/>
  <c r="AG77" i="21"/>
  <c r="AI77" i="21" s="1"/>
  <c r="AV77" i="21"/>
  <c r="BM77" i="21" s="1"/>
  <c r="AG49" i="21"/>
  <c r="AI49" i="21" s="1"/>
  <c r="AV49" i="21"/>
  <c r="BM49" i="21" s="1"/>
  <c r="AG73" i="21"/>
  <c r="AI73" i="21" s="1"/>
  <c r="AV73" i="21"/>
  <c r="BM73" i="21" s="1"/>
  <c r="AG108" i="21"/>
  <c r="AI108" i="21" s="1"/>
  <c r="AV108" i="21"/>
  <c r="BM108" i="21" s="1"/>
  <c r="AG92" i="21"/>
  <c r="AI92" i="21" s="1"/>
  <c r="AV92" i="21"/>
  <c r="BM92" i="21" s="1"/>
  <c r="R25" i="21"/>
  <c r="T25" i="21" s="1"/>
  <c r="AS25" i="21"/>
  <c r="AG69" i="21"/>
  <c r="AI69" i="21" s="1"/>
  <c r="AV69" i="21"/>
  <c r="BM69" i="21" s="1"/>
  <c r="AG50" i="21"/>
  <c r="AI50" i="21" s="1"/>
  <c r="AV50" i="21"/>
  <c r="BM50" i="21" s="1"/>
  <c r="R107" i="21"/>
  <c r="T107" i="21" s="1"/>
  <c r="AS107" i="21"/>
  <c r="R91" i="21"/>
  <c r="T91" i="21" s="1"/>
  <c r="AS91" i="21"/>
  <c r="R61" i="21"/>
  <c r="T61" i="21" s="1"/>
  <c r="AS61" i="21"/>
  <c r="R87" i="21"/>
  <c r="T87" i="21" s="1"/>
  <c r="AS87" i="21"/>
  <c r="AK27" i="21"/>
  <c r="AN27" i="21" s="1"/>
  <c r="AV27" i="21"/>
  <c r="BM27" i="21" s="1"/>
  <c r="R27" i="21"/>
  <c r="T27" i="21" s="1"/>
  <c r="AS27" i="21"/>
  <c r="R88" i="21"/>
  <c r="T88" i="21" s="1"/>
  <c r="AS88" i="21"/>
  <c r="R73" i="21"/>
  <c r="T73" i="21" s="1"/>
  <c r="AS73" i="21"/>
  <c r="R100" i="21"/>
  <c r="T100" i="21" s="1"/>
  <c r="AS100" i="21"/>
  <c r="R64" i="21"/>
  <c r="T64" i="21" s="1"/>
  <c r="AS64" i="21"/>
  <c r="R85" i="21"/>
  <c r="T85" i="21" s="1"/>
  <c r="AS85" i="21"/>
  <c r="AG78" i="21"/>
  <c r="AI78" i="21" s="1"/>
  <c r="AV78" i="21"/>
  <c r="BM78" i="21" s="1"/>
  <c r="R29" i="21"/>
  <c r="T29" i="21" s="1"/>
  <c r="AS29" i="21"/>
  <c r="R28" i="21"/>
  <c r="T28" i="21" s="1"/>
  <c r="AS28" i="21"/>
  <c r="AG79" i="21"/>
  <c r="AI79" i="21" s="1"/>
  <c r="AV79" i="21"/>
  <c r="BM79" i="21" s="1"/>
  <c r="AG104" i="21"/>
  <c r="AI104" i="21" s="1"/>
  <c r="AV104" i="21"/>
  <c r="BM104" i="21" s="1"/>
  <c r="AG96" i="21"/>
  <c r="AI96" i="21" s="1"/>
  <c r="AV96" i="21"/>
  <c r="BM96" i="21" s="1"/>
  <c r="AG48" i="21"/>
  <c r="AI48" i="21" s="1"/>
  <c r="AV48" i="21"/>
  <c r="BM48" i="21" s="1"/>
  <c r="R26" i="21"/>
  <c r="T26" i="21" s="1"/>
  <c r="AS26" i="21"/>
  <c r="AG40" i="21"/>
  <c r="AI40" i="21" s="1"/>
  <c r="AV40" i="21"/>
  <c r="BM40" i="21" s="1"/>
  <c r="AG86" i="21"/>
  <c r="AI86" i="21" s="1"/>
  <c r="AV86" i="21"/>
  <c r="BM86" i="21" s="1"/>
  <c r="R78" i="21"/>
  <c r="T78" i="21" s="1"/>
  <c r="AS78" i="21"/>
  <c r="R103" i="21"/>
  <c r="T103" i="21" s="1"/>
  <c r="AS103" i="21"/>
  <c r="AK13" i="21"/>
  <c r="AN13" i="21" s="1"/>
  <c r="AV13" i="21"/>
  <c r="BM13" i="21" s="1"/>
  <c r="R13" i="21"/>
  <c r="T13" i="21" s="1"/>
  <c r="AS13" i="21"/>
  <c r="AG36" i="21"/>
  <c r="AI36" i="21" s="1"/>
  <c r="AV36" i="21"/>
  <c r="BM36" i="21" s="1"/>
  <c r="R96" i="21"/>
  <c r="T96" i="21" s="1"/>
  <c r="AS96" i="21"/>
  <c r="AK16" i="21"/>
  <c r="AN16" i="21" s="1"/>
  <c r="AV16" i="21"/>
  <c r="BM16" i="21" s="1"/>
  <c r="R16" i="21"/>
  <c r="T16" i="21" s="1"/>
  <c r="AS16" i="21"/>
  <c r="R33" i="21"/>
  <c r="T33" i="21" s="1"/>
  <c r="AS33" i="21"/>
  <c r="AK33" i="21"/>
  <c r="AN33" i="21" s="1"/>
  <c r="AV33" i="21"/>
  <c r="BM33" i="21" s="1"/>
  <c r="R60" i="21"/>
  <c r="T60" i="21" s="1"/>
  <c r="AS60" i="21"/>
  <c r="R69" i="21"/>
  <c r="T69" i="21" s="1"/>
  <c r="AS69" i="21"/>
  <c r="R75" i="21"/>
  <c r="T75" i="21" s="1"/>
  <c r="AS75" i="21"/>
  <c r="R86" i="21"/>
  <c r="T86" i="21" s="1"/>
  <c r="AS86" i="21"/>
  <c r="AV46" i="21"/>
  <c r="BM46" i="21" s="1"/>
  <c r="AV35" i="21"/>
  <c r="BM35" i="21" s="1"/>
  <c r="AV42" i="21"/>
  <c r="BM42" i="21" s="1"/>
  <c r="BB143" i="20"/>
  <c r="BD143" i="20" s="1"/>
  <c r="BH143" i="20" s="1"/>
  <c r="BI143" i="20"/>
  <c r="BK193" i="20"/>
  <c r="BJ193" i="20"/>
  <c r="BB193" i="20"/>
  <c r="BD193" i="20" s="1"/>
  <c r="BH193" i="20" s="1"/>
  <c r="BK171" i="20"/>
  <c r="BJ171" i="20"/>
  <c r="AO57" i="20"/>
  <c r="AP57" i="20" s="1"/>
  <c r="AG199" i="20"/>
  <c r="AI199" i="20" s="1"/>
  <c r="AV199" i="20"/>
  <c r="BL199" i="20" s="1"/>
  <c r="R199" i="20"/>
  <c r="T199" i="20" s="1"/>
  <c r="AS199" i="20"/>
  <c r="AG115" i="20"/>
  <c r="AI115" i="20" s="1"/>
  <c r="AV115" i="20"/>
  <c r="BL115" i="20" s="1"/>
  <c r="R166" i="20"/>
  <c r="T166" i="20" s="1"/>
  <c r="AS166" i="20"/>
  <c r="R182" i="20"/>
  <c r="T182" i="20" s="1"/>
  <c r="AS182" i="20"/>
  <c r="AG182" i="20"/>
  <c r="AI182" i="20" s="1"/>
  <c r="BF182" i="20" s="1"/>
  <c r="AV182" i="20"/>
  <c r="BL182" i="20" s="1"/>
  <c r="R180" i="20"/>
  <c r="T180" i="20" s="1"/>
  <c r="AS180" i="20"/>
  <c r="AG180" i="20"/>
  <c r="AI180" i="20" s="1"/>
  <c r="BF180" i="20" s="1"/>
  <c r="AV180" i="20"/>
  <c r="BL180" i="20" s="1"/>
  <c r="R164" i="20"/>
  <c r="T164" i="20" s="1"/>
  <c r="AS164" i="20"/>
  <c r="AG124" i="20"/>
  <c r="AI124" i="20" s="1"/>
  <c r="BF124" i="20" s="1"/>
  <c r="AV124" i="20"/>
  <c r="BL124" i="20" s="1"/>
  <c r="R124" i="20"/>
  <c r="T124" i="20" s="1"/>
  <c r="AS124" i="20"/>
  <c r="BI204" i="20"/>
  <c r="AG145" i="20"/>
  <c r="AI145" i="20" s="1"/>
  <c r="BF145" i="20" s="1"/>
  <c r="AV145" i="20"/>
  <c r="BL145" i="20" s="1"/>
  <c r="R145" i="20"/>
  <c r="T145" i="20" s="1"/>
  <c r="AS145" i="20"/>
  <c r="AG129" i="20"/>
  <c r="AI129" i="20" s="1"/>
  <c r="BF129" i="20" s="1"/>
  <c r="AV129" i="20"/>
  <c r="BL129" i="20" s="1"/>
  <c r="R121" i="20"/>
  <c r="T121" i="20" s="1"/>
  <c r="AS121" i="20"/>
  <c r="AG121" i="20"/>
  <c r="AI121" i="20" s="1"/>
  <c r="BF121" i="20" s="1"/>
  <c r="AV121" i="20"/>
  <c r="BL121" i="20" s="1"/>
  <c r="AG170" i="20"/>
  <c r="AI170" i="20" s="1"/>
  <c r="BF170" i="20" s="1"/>
  <c r="AV170" i="20"/>
  <c r="BL170" i="20" s="1"/>
  <c r="AG154" i="20"/>
  <c r="AI154" i="20" s="1"/>
  <c r="BF154" i="20" s="1"/>
  <c r="AV154" i="20"/>
  <c r="BL154" i="20" s="1"/>
  <c r="R138" i="20"/>
  <c r="T138" i="20" s="1"/>
  <c r="AS138" i="20"/>
  <c r="AG138" i="20"/>
  <c r="AI138" i="20" s="1"/>
  <c r="BF138" i="20" s="1"/>
  <c r="AV138" i="20"/>
  <c r="BL138" i="20" s="1"/>
  <c r="R114" i="20"/>
  <c r="T114" i="20" s="1"/>
  <c r="AS114" i="20"/>
  <c r="R175" i="20"/>
  <c r="T175" i="20" s="1"/>
  <c r="AS175" i="20"/>
  <c r="AG135" i="20"/>
  <c r="AI135" i="20" s="1"/>
  <c r="AV135" i="20"/>
  <c r="BL135" i="20" s="1"/>
  <c r="R135" i="20"/>
  <c r="T135" i="20" s="1"/>
  <c r="AS135" i="20"/>
  <c r="R111" i="20"/>
  <c r="T111" i="20" s="1"/>
  <c r="AS111" i="20"/>
  <c r="AG111" i="20"/>
  <c r="AI111" i="20" s="1"/>
  <c r="BF111" i="20" s="1"/>
  <c r="AV111" i="20"/>
  <c r="BL111" i="20" s="1"/>
  <c r="AG160" i="20"/>
  <c r="AI160" i="20" s="1"/>
  <c r="AV160" i="20"/>
  <c r="BL160" i="20" s="1"/>
  <c r="R160" i="20"/>
  <c r="T160" i="20" s="1"/>
  <c r="AS160" i="20"/>
  <c r="AG153" i="20"/>
  <c r="AI153" i="20" s="1"/>
  <c r="BF153" i="20" s="1"/>
  <c r="AV153" i="20"/>
  <c r="BL153" i="20" s="1"/>
  <c r="AG190" i="20"/>
  <c r="AI190" i="20" s="1"/>
  <c r="AV190" i="20"/>
  <c r="BL190" i="20" s="1"/>
  <c r="R190" i="20"/>
  <c r="T190" i="20" s="1"/>
  <c r="AS190" i="20"/>
  <c r="R169" i="20"/>
  <c r="T169" i="20" s="1"/>
  <c r="AS169" i="20"/>
  <c r="BK181" i="20"/>
  <c r="R195" i="20"/>
  <c r="T195" i="20" s="1"/>
  <c r="AS195" i="20"/>
  <c r="AG192" i="20"/>
  <c r="AI192" i="20" s="1"/>
  <c r="BF192" i="20" s="1"/>
  <c r="AV192" i="20"/>
  <c r="BL192" i="20" s="1"/>
  <c r="R144" i="20"/>
  <c r="T144" i="20" s="1"/>
  <c r="AS144" i="20"/>
  <c r="AG128" i="20"/>
  <c r="AI128" i="20" s="1"/>
  <c r="BF128" i="20" s="1"/>
  <c r="AV128" i="20"/>
  <c r="BL128" i="20" s="1"/>
  <c r="AG207" i="20"/>
  <c r="AI207" i="20" s="1"/>
  <c r="BF207" i="20" s="1"/>
  <c r="AV207" i="20"/>
  <c r="BL207" i="20" s="1"/>
  <c r="AG205" i="20"/>
  <c r="AI205" i="20" s="1"/>
  <c r="BF205" i="20" s="1"/>
  <c r="AV205" i="20"/>
  <c r="BL205" i="20" s="1"/>
  <c r="R205" i="20"/>
  <c r="T205" i="20" s="1"/>
  <c r="AS205" i="20"/>
  <c r="AG197" i="20"/>
  <c r="AI197" i="20" s="1"/>
  <c r="BF197" i="20" s="1"/>
  <c r="AV197" i="20"/>
  <c r="BL197" i="20" s="1"/>
  <c r="AG147" i="20"/>
  <c r="AI147" i="20" s="1"/>
  <c r="BF147" i="20" s="1"/>
  <c r="AV147" i="20"/>
  <c r="BL147" i="20" s="1"/>
  <c r="AG131" i="20"/>
  <c r="AI131" i="20" s="1"/>
  <c r="BF131" i="20" s="1"/>
  <c r="AV131" i="20"/>
  <c r="BL131" i="20" s="1"/>
  <c r="R123" i="20"/>
  <c r="T123" i="20" s="1"/>
  <c r="AS123" i="20"/>
  <c r="R201" i="20"/>
  <c r="T201" i="20" s="1"/>
  <c r="AS201" i="20"/>
  <c r="R127" i="20"/>
  <c r="T127" i="20" s="1"/>
  <c r="AS127" i="20"/>
  <c r="AG127" i="20"/>
  <c r="AI127" i="20" s="1"/>
  <c r="BF127" i="20" s="1"/>
  <c r="AV127" i="20"/>
  <c r="BL127" i="20" s="1"/>
  <c r="R120" i="20"/>
  <c r="T120" i="20" s="1"/>
  <c r="AS120" i="20"/>
  <c r="AG137" i="20"/>
  <c r="AI137" i="20" s="1"/>
  <c r="AV137" i="20"/>
  <c r="BL137" i="20" s="1"/>
  <c r="R137" i="20"/>
  <c r="T137" i="20" s="1"/>
  <c r="AS137" i="20"/>
  <c r="R162" i="20"/>
  <c r="T162" i="20" s="1"/>
  <c r="AS162" i="20"/>
  <c r="R130" i="20"/>
  <c r="T130" i="20" s="1"/>
  <c r="AS130" i="20"/>
  <c r="R122" i="20"/>
  <c r="T122" i="20" s="1"/>
  <c r="AS122" i="20"/>
  <c r="AG122" i="20"/>
  <c r="AI122" i="20" s="1"/>
  <c r="BF122" i="20" s="1"/>
  <c r="AV122" i="20"/>
  <c r="BL122" i="20" s="1"/>
  <c r="R194" i="20"/>
  <c r="T194" i="20" s="1"/>
  <c r="AS194" i="20"/>
  <c r="AG186" i="20"/>
  <c r="AI186" i="20" s="1"/>
  <c r="AV186" i="20"/>
  <c r="BL186" i="20" s="1"/>
  <c r="AG177" i="20"/>
  <c r="AI177" i="20" s="1"/>
  <c r="AV177" i="20"/>
  <c r="BL177" i="20" s="1"/>
  <c r="R200" i="20"/>
  <c r="T200" i="20" s="1"/>
  <c r="AS200" i="20"/>
  <c r="R209" i="20"/>
  <c r="T209" i="20" s="1"/>
  <c r="AS209" i="20"/>
  <c r="R119" i="20"/>
  <c r="T119" i="20" s="1"/>
  <c r="AS119" i="20"/>
  <c r="AG149" i="20"/>
  <c r="AI149" i="20" s="1"/>
  <c r="AV149" i="20"/>
  <c r="BL149" i="20" s="1"/>
  <c r="R126" i="20"/>
  <c r="T126" i="20" s="1"/>
  <c r="AS126" i="20"/>
  <c r="R110" i="20"/>
  <c r="T110" i="20" s="1"/>
  <c r="AS110" i="20"/>
  <c r="AG184" i="20"/>
  <c r="AI184" i="20" s="1"/>
  <c r="BF184" i="20" s="1"/>
  <c r="AV184" i="20"/>
  <c r="BL184" i="20" s="1"/>
  <c r="R187" i="20"/>
  <c r="T187" i="20" s="1"/>
  <c r="AS187" i="20"/>
  <c r="AG187" i="20"/>
  <c r="AI187" i="20" s="1"/>
  <c r="BF187" i="20" s="1"/>
  <c r="AV187" i="20"/>
  <c r="BL187" i="20" s="1"/>
  <c r="R165" i="20"/>
  <c r="T165" i="20" s="1"/>
  <c r="AS165" i="20"/>
  <c r="BK155" i="20"/>
  <c r="AG140" i="20"/>
  <c r="AI140" i="20" s="1"/>
  <c r="BF140" i="20" s="1"/>
  <c r="AV140" i="20"/>
  <c r="BL140" i="20" s="1"/>
  <c r="R157" i="20"/>
  <c r="T157" i="20" s="1"/>
  <c r="AS157" i="20"/>
  <c r="AG141" i="20"/>
  <c r="AI141" i="20" s="1"/>
  <c r="BF141" i="20" s="1"/>
  <c r="AV141" i="20"/>
  <c r="BL141" i="20" s="1"/>
  <c r="BI118" i="20"/>
  <c r="AG168" i="20"/>
  <c r="AI168" i="20" s="1"/>
  <c r="BF168" i="20" s="1"/>
  <c r="AV168" i="20"/>
  <c r="BL168" i="20" s="1"/>
  <c r="AG163" i="20"/>
  <c r="AI163" i="20" s="1"/>
  <c r="BF163" i="20" s="1"/>
  <c r="AV163" i="20"/>
  <c r="BL163" i="20" s="1"/>
  <c r="BJ155" i="20"/>
  <c r="R188" i="20"/>
  <c r="T188" i="20" s="1"/>
  <c r="AS188" i="20"/>
  <c r="R115" i="20"/>
  <c r="T115" i="20" s="1"/>
  <c r="AS115" i="20"/>
  <c r="R117" i="20"/>
  <c r="T117" i="20" s="1"/>
  <c r="AS117" i="20"/>
  <c r="R150" i="20"/>
  <c r="T150" i="20" s="1"/>
  <c r="AS150" i="20"/>
  <c r="R134" i="20"/>
  <c r="T134" i="20" s="1"/>
  <c r="AS134" i="20"/>
  <c r="R161" i="20"/>
  <c r="T161" i="20" s="1"/>
  <c r="AS161" i="20"/>
  <c r="R208" i="20"/>
  <c r="T208" i="20" s="1"/>
  <c r="AS208" i="20"/>
  <c r="AG164" i="20"/>
  <c r="AI164" i="20" s="1"/>
  <c r="AV164" i="20"/>
  <c r="BL164" i="20" s="1"/>
  <c r="R185" i="20"/>
  <c r="T185" i="20" s="1"/>
  <c r="AS185" i="20"/>
  <c r="AG189" i="20"/>
  <c r="AI189" i="20" s="1"/>
  <c r="BF189" i="20" s="1"/>
  <c r="AV189" i="20"/>
  <c r="BL189" i="20" s="1"/>
  <c r="R189" i="20"/>
  <c r="T189" i="20" s="1"/>
  <c r="AS189" i="20"/>
  <c r="R158" i="20"/>
  <c r="T158" i="20" s="1"/>
  <c r="AS158" i="20"/>
  <c r="R142" i="20"/>
  <c r="T142" i="20" s="1"/>
  <c r="AS142" i="20"/>
  <c r="R112" i="20"/>
  <c r="T112" i="20" s="1"/>
  <c r="AS112" i="20"/>
  <c r="AG112" i="20"/>
  <c r="AI112" i="20" s="1"/>
  <c r="AV112" i="20"/>
  <c r="BL112" i="20" s="1"/>
  <c r="R129" i="20"/>
  <c r="T129" i="20" s="1"/>
  <c r="AS129" i="20"/>
  <c r="R170" i="20"/>
  <c r="T170" i="20" s="1"/>
  <c r="AS170" i="20"/>
  <c r="R154" i="20"/>
  <c r="T154" i="20" s="1"/>
  <c r="AS154" i="20"/>
  <c r="AG114" i="20"/>
  <c r="AI114" i="20" s="1"/>
  <c r="BF114" i="20" s="1"/>
  <c r="AV114" i="20"/>
  <c r="BL114" i="20" s="1"/>
  <c r="AG175" i="20"/>
  <c r="AI175" i="20" s="1"/>
  <c r="BF175" i="20" s="1"/>
  <c r="AV175" i="20"/>
  <c r="BL175" i="20" s="1"/>
  <c r="R153" i="20"/>
  <c r="T153" i="20" s="1"/>
  <c r="AS153" i="20"/>
  <c r="AG169" i="20"/>
  <c r="AI169" i="20" s="1"/>
  <c r="BF169" i="20" s="1"/>
  <c r="AV169" i="20"/>
  <c r="BL169" i="20" s="1"/>
  <c r="AG195" i="20"/>
  <c r="AI195" i="20" s="1"/>
  <c r="BF195" i="20" s="1"/>
  <c r="AV195" i="20"/>
  <c r="BL195" i="20" s="1"/>
  <c r="R192" i="20"/>
  <c r="T192" i="20" s="1"/>
  <c r="AS192" i="20"/>
  <c r="R168" i="20"/>
  <c r="T168" i="20" s="1"/>
  <c r="AS168" i="20"/>
  <c r="AG144" i="20"/>
  <c r="AI144" i="20" s="1"/>
  <c r="BF144" i="20" s="1"/>
  <c r="AV144" i="20"/>
  <c r="BL144" i="20" s="1"/>
  <c r="R128" i="20"/>
  <c r="T128" i="20" s="1"/>
  <c r="AS128" i="20"/>
  <c r="BI171" i="20"/>
  <c r="BB171" i="20"/>
  <c r="BD171" i="20" s="1"/>
  <c r="BH171" i="20" s="1"/>
  <c r="R203" i="20"/>
  <c r="T203" i="20" s="1"/>
  <c r="AS203" i="20"/>
  <c r="R207" i="20"/>
  <c r="T207" i="20" s="1"/>
  <c r="AS207" i="20"/>
  <c r="R197" i="20"/>
  <c r="T197" i="20" s="1"/>
  <c r="AS197" i="20"/>
  <c r="R147" i="20"/>
  <c r="T147" i="20" s="1"/>
  <c r="AS147" i="20"/>
  <c r="R131" i="20"/>
  <c r="T131" i="20" s="1"/>
  <c r="AS131" i="20"/>
  <c r="AG123" i="20"/>
  <c r="AI123" i="20" s="1"/>
  <c r="AV123" i="20"/>
  <c r="BL123" i="20" s="1"/>
  <c r="R148" i="20"/>
  <c r="T148" i="20" s="1"/>
  <c r="AS148" i="20"/>
  <c r="AG148" i="20"/>
  <c r="AV148" i="20"/>
  <c r="BL148" i="20" s="1"/>
  <c r="R136" i="20"/>
  <c r="T136" i="20" s="1"/>
  <c r="AS136" i="20"/>
  <c r="R178" i="20"/>
  <c r="T178" i="20" s="1"/>
  <c r="AS178" i="20"/>
  <c r="R146" i="20"/>
  <c r="T146" i="20" s="1"/>
  <c r="AS146" i="20"/>
  <c r="R198" i="20"/>
  <c r="T198" i="20" s="1"/>
  <c r="AS198" i="20"/>
  <c r="AG132" i="20"/>
  <c r="AV132" i="20"/>
  <c r="BL132" i="20" s="1"/>
  <c r="R132" i="20"/>
  <c r="T132" i="20" s="1"/>
  <c r="AS132" i="20"/>
  <c r="R186" i="20"/>
  <c r="T186" i="20" s="1"/>
  <c r="AS186" i="20"/>
  <c r="R177" i="20"/>
  <c r="T177" i="20" s="1"/>
  <c r="AS177" i="20"/>
  <c r="AG209" i="20"/>
  <c r="AI209" i="20" s="1"/>
  <c r="BF209" i="20" s="1"/>
  <c r="AV209" i="20"/>
  <c r="BL209" i="20" s="1"/>
  <c r="R149" i="20"/>
  <c r="T149" i="20" s="1"/>
  <c r="AS149" i="20"/>
  <c r="R133" i="20"/>
  <c r="T133" i="20" s="1"/>
  <c r="AS133" i="20"/>
  <c r="AG133" i="20"/>
  <c r="AI133" i="20" s="1"/>
  <c r="BF133" i="20" s="1"/>
  <c r="AV133" i="20"/>
  <c r="BL133" i="20" s="1"/>
  <c r="R125" i="20"/>
  <c r="T125" i="20" s="1"/>
  <c r="AS125" i="20"/>
  <c r="AG125" i="20"/>
  <c r="AI125" i="20" s="1"/>
  <c r="BF125" i="20" s="1"/>
  <c r="AV125" i="20"/>
  <c r="BL125" i="20" s="1"/>
  <c r="AG126" i="20"/>
  <c r="AI126" i="20" s="1"/>
  <c r="BF126" i="20" s="1"/>
  <c r="AV126" i="20"/>
  <c r="BL126" i="20" s="1"/>
  <c r="AG110" i="20"/>
  <c r="AI110" i="20" s="1"/>
  <c r="BF110" i="20" s="1"/>
  <c r="AV110" i="20"/>
  <c r="BL110" i="20" s="1"/>
  <c r="R184" i="20"/>
  <c r="T184" i="20" s="1"/>
  <c r="AS184" i="20"/>
  <c r="R176" i="20"/>
  <c r="T176" i="20" s="1"/>
  <c r="AS176" i="20"/>
  <c r="R113" i="20"/>
  <c r="T113" i="20" s="1"/>
  <c r="AS113" i="20"/>
  <c r="AG113" i="20"/>
  <c r="AI113" i="20" s="1"/>
  <c r="BF113" i="20" s="1"/>
  <c r="AV113" i="20"/>
  <c r="BL113" i="20" s="1"/>
  <c r="R140" i="20"/>
  <c r="T140" i="20" s="1"/>
  <c r="AS140" i="20"/>
  <c r="AG157" i="20"/>
  <c r="AI157" i="20" s="1"/>
  <c r="BF157" i="20" s="1"/>
  <c r="AV157" i="20"/>
  <c r="BL157" i="20" s="1"/>
  <c r="R141" i="20"/>
  <c r="T141" i="20" s="1"/>
  <c r="AS141" i="20"/>
  <c r="AG174" i="20"/>
  <c r="AI174" i="20" s="1"/>
  <c r="BF174" i="20" s="1"/>
  <c r="AV174" i="20"/>
  <c r="BL174" i="20" s="1"/>
  <c r="R174" i="20"/>
  <c r="T174" i="20" s="1"/>
  <c r="AS174" i="20"/>
  <c r="AG202" i="20"/>
  <c r="AI202" i="20" s="1"/>
  <c r="BF202" i="20" s="1"/>
  <c r="AV202" i="20"/>
  <c r="BL202" i="20" s="1"/>
  <c r="R202" i="20"/>
  <c r="T202" i="20" s="1"/>
  <c r="AS202" i="20"/>
  <c r="R163" i="20"/>
  <c r="T163" i="20" s="1"/>
  <c r="AS163" i="20"/>
  <c r="BB155" i="20"/>
  <c r="BD155" i="20" s="1"/>
  <c r="BH155" i="20" s="1"/>
  <c r="AV84" i="20"/>
  <c r="BL84" i="20" s="1"/>
  <c r="AV40" i="20"/>
  <c r="BL40" i="20" s="1"/>
  <c r="AO85" i="20"/>
  <c r="AP85" i="20" s="1"/>
  <c r="AR85" i="20" s="1"/>
  <c r="Q85" i="20"/>
  <c r="AS85" i="20" s="1"/>
  <c r="S85" i="20"/>
  <c r="X85" i="20"/>
  <c r="Y85" i="20" s="1"/>
  <c r="Z85" i="20" s="1"/>
  <c r="AD85" i="20"/>
  <c r="U85" i="20"/>
  <c r="V85" i="20" s="1"/>
  <c r="W85" i="20" s="1"/>
  <c r="AO66" i="20"/>
  <c r="AP66" i="20" s="1"/>
  <c r="AJ66" i="20"/>
  <c r="AK66" i="20" s="1"/>
  <c r="AN66" i="20" s="1"/>
  <c r="Q66" i="20"/>
  <c r="AS66" i="20" s="1"/>
  <c r="U66" i="20"/>
  <c r="V66" i="20" s="1"/>
  <c r="W66" i="20" s="1"/>
  <c r="AH66" i="20"/>
  <c r="AD66" i="20"/>
  <c r="AH85" i="20"/>
  <c r="X66" i="20"/>
  <c r="Y66" i="20" s="1"/>
  <c r="Z66" i="20" s="1"/>
  <c r="AA85" i="20"/>
  <c r="AB85" i="20" s="1"/>
  <c r="AQ69" i="20"/>
  <c r="AO69" i="20"/>
  <c r="AP69" i="20" s="1"/>
  <c r="Q69" i="20"/>
  <c r="AD69" i="20"/>
  <c r="AO90" i="20"/>
  <c r="AP90" i="20" s="1"/>
  <c r="AR90" i="20" s="1"/>
  <c r="Q90" i="20"/>
  <c r="AA90" i="20"/>
  <c r="AB90" i="20" s="1"/>
  <c r="AD90" i="20"/>
  <c r="X90" i="20"/>
  <c r="Y90" i="20" s="1"/>
  <c r="Z90" i="20" s="1"/>
  <c r="AH90" i="20"/>
  <c r="AQ74" i="20"/>
  <c r="Q74" i="20"/>
  <c r="AA74" i="20"/>
  <c r="AB74" i="20" s="1"/>
  <c r="U74" i="20"/>
  <c r="V74" i="20" s="1"/>
  <c r="W74" i="20" s="1"/>
  <c r="S74" i="20"/>
  <c r="AH74" i="20"/>
  <c r="AM50" i="20"/>
  <c r="AJ50" i="20"/>
  <c r="AK50" i="20" s="1"/>
  <c r="AA50" i="20"/>
  <c r="AB50" i="20" s="1"/>
  <c r="AF50" i="20"/>
  <c r="U50" i="20"/>
  <c r="V50" i="20" s="1"/>
  <c r="W50" i="20" s="1"/>
  <c r="AM38" i="20"/>
  <c r="AJ38" i="20"/>
  <c r="AK38" i="20" s="1"/>
  <c r="AQ81" i="20"/>
  <c r="AO81" i="20"/>
  <c r="AP81" i="20" s="1"/>
  <c r="AF81" i="20"/>
  <c r="AG81" i="20" s="1"/>
  <c r="X81" i="20"/>
  <c r="Y81" i="20" s="1"/>
  <c r="Z81" i="20" s="1"/>
  <c r="AQ65" i="20"/>
  <c r="AF65" i="20"/>
  <c r="X65" i="20"/>
  <c r="Y65" i="20" s="1"/>
  <c r="Z65" i="20" s="1"/>
  <c r="AQ70" i="20"/>
  <c r="AO70" i="20"/>
  <c r="AP70" i="20" s="1"/>
  <c r="AF70" i="20"/>
  <c r="AG70" i="20" s="1"/>
  <c r="AA70" i="20"/>
  <c r="AB70" i="20" s="1"/>
  <c r="S70" i="20"/>
  <c r="AH70" i="20"/>
  <c r="AO45" i="20"/>
  <c r="AP45" i="20" s="1"/>
  <c r="AA45" i="20"/>
  <c r="AB45" i="20" s="1"/>
  <c r="S45" i="20"/>
  <c r="AM54" i="20"/>
  <c r="AO54" i="20"/>
  <c r="AP54" i="20" s="1"/>
  <c r="AR54" i="20" s="1"/>
  <c r="AJ54" i="20"/>
  <c r="AK54" i="20" s="1"/>
  <c r="AF54" i="20"/>
  <c r="AG54" i="20" s="1"/>
  <c r="AA54" i="20"/>
  <c r="AB54" i="20" s="1"/>
  <c r="U54" i="20"/>
  <c r="V54" i="20" s="1"/>
  <c r="W54" i="20" s="1"/>
  <c r="X54" i="20"/>
  <c r="Y54" i="20" s="1"/>
  <c r="Z54" i="20" s="1"/>
  <c r="S54" i="20"/>
  <c r="AH65" i="20"/>
  <c r="S65" i="20"/>
  <c r="AD65" i="20"/>
  <c r="S34" i="20"/>
  <c r="AQ34" i="20"/>
  <c r="U34" i="20"/>
  <c r="V34" i="20" s="1"/>
  <c r="W34" i="20" s="1"/>
  <c r="X34" i="20"/>
  <c r="Y34" i="20" s="1"/>
  <c r="Z34" i="20" s="1"/>
  <c r="AJ81" i="20"/>
  <c r="AK81" i="20" s="1"/>
  <c r="AJ77" i="20"/>
  <c r="AK77" i="20" s="1"/>
  <c r="AN77" i="20" s="1"/>
  <c r="AJ74" i="20"/>
  <c r="AK74" i="20" s="1"/>
  <c r="AN74" i="20" s="1"/>
  <c r="AO82" i="20"/>
  <c r="AP82" i="20" s="1"/>
  <c r="AO50" i="20"/>
  <c r="AP50" i="20" s="1"/>
  <c r="AR50" i="20" s="1"/>
  <c r="AD61" i="20"/>
  <c r="AH61" i="20"/>
  <c r="S61" i="20"/>
  <c r="AJ73" i="20"/>
  <c r="AJ69" i="20"/>
  <c r="AK69" i="20" s="1"/>
  <c r="AO74" i="20"/>
  <c r="AP74" i="20" s="1"/>
  <c r="AO58" i="20"/>
  <c r="AP58" i="20" s="1"/>
  <c r="R22" i="20"/>
  <c r="T22" i="20" s="1"/>
  <c r="BI22" i="20" s="1"/>
  <c r="AQ33" i="20"/>
  <c r="AM33" i="20"/>
  <c r="X33" i="20"/>
  <c r="Y33" i="20" s="1"/>
  <c r="Z33" i="20" s="1"/>
  <c r="S33" i="20"/>
  <c r="S21" i="20"/>
  <c r="S13" i="20"/>
  <c r="S25" i="20"/>
  <c r="AM13" i="20"/>
  <c r="AM18" i="20"/>
  <c r="AM17" i="20"/>
  <c r="AM21" i="20"/>
  <c r="U109" i="20"/>
  <c r="V109" i="20" s="1"/>
  <c r="W109" i="20" s="1"/>
  <c r="X18" i="20"/>
  <c r="Y18" i="20" s="1"/>
  <c r="Z18" i="20" s="1"/>
  <c r="U21" i="20"/>
  <c r="V21" i="20" s="1"/>
  <c r="W21" i="20" s="1"/>
  <c r="X21" i="20"/>
  <c r="Y21" i="20" s="1"/>
  <c r="Z21" i="20" s="1"/>
  <c r="AH109" i="20"/>
  <c r="AA109" i="20"/>
  <c r="AB109" i="20" s="1"/>
  <c r="AE109" i="20" s="1"/>
  <c r="Q109" i="20"/>
  <c r="AQ31" i="20"/>
  <c r="AM31" i="20"/>
  <c r="AK109" i="20"/>
  <c r="AO109" i="20"/>
  <c r="AP109" i="20" s="1"/>
  <c r="AM109" i="20"/>
  <c r="AQ109" i="20"/>
  <c r="R9" i="20"/>
  <c r="T9" i="20" s="1"/>
  <c r="BI9" i="20" s="1"/>
  <c r="AS9" i="20"/>
  <c r="Q25" i="20"/>
  <c r="AS25" i="20" s="1"/>
  <c r="S106" i="20"/>
  <c r="AO106" i="20"/>
  <c r="AP106" i="20" s="1"/>
  <c r="AR106" i="20" s="1"/>
  <c r="Q106" i="20"/>
  <c r="AS106" i="20" s="1"/>
  <c r="AH106" i="20"/>
  <c r="Q14" i="20"/>
  <c r="AS14" i="20" s="1"/>
  <c r="AQ14" i="20"/>
  <c r="AA14" i="20"/>
  <c r="AB14" i="20" s="1"/>
  <c r="AE14" i="20" s="1"/>
  <c r="Q10" i="20"/>
  <c r="AS10" i="20" s="1"/>
  <c r="AQ10" i="20"/>
  <c r="AA10" i="20"/>
  <c r="AB10" i="20" s="1"/>
  <c r="AE10" i="20" s="1"/>
  <c r="AF29" i="20"/>
  <c r="AG29" i="20" s="1"/>
  <c r="AF106" i="20"/>
  <c r="AV106" i="20" s="1"/>
  <c r="BL106" i="20" s="1"/>
  <c r="AQ21" i="20"/>
  <c r="Q21" i="20"/>
  <c r="AS21" i="20" s="1"/>
  <c r="AA21" i="20"/>
  <c r="AB21" i="20" s="1"/>
  <c r="AE21" i="20" s="1"/>
  <c r="AF25" i="20"/>
  <c r="AF26" i="20"/>
  <c r="AJ33" i="20"/>
  <c r="AJ14" i="20"/>
  <c r="AK14" i="20" s="1"/>
  <c r="X25" i="20"/>
  <c r="Y25" i="20" s="1"/>
  <c r="Z25" i="20" s="1"/>
  <c r="U25" i="20"/>
  <c r="V25" i="20" s="1"/>
  <c r="W25" i="20" s="1"/>
  <c r="AH25" i="20"/>
  <c r="AQ25" i="20"/>
  <c r="AQ17" i="20"/>
  <c r="Q17" i="20"/>
  <c r="AS17" i="20" s="1"/>
  <c r="AA17" i="20"/>
  <c r="AB17" i="20" s="1"/>
  <c r="AE17" i="20" s="1"/>
  <c r="U17" i="20"/>
  <c r="V17" i="20" s="1"/>
  <c r="W17" i="20" s="1"/>
  <c r="AQ18" i="20"/>
  <c r="AA18" i="20"/>
  <c r="AB18" i="20" s="1"/>
  <c r="AE18" i="20" s="1"/>
  <c r="Q18" i="20"/>
  <c r="AS18" i="20" s="1"/>
  <c r="AA30" i="20"/>
  <c r="AB30" i="20" s="1"/>
  <c r="AF31" i="20"/>
  <c r="AG31" i="20" s="1"/>
  <c r="AA33" i="20"/>
  <c r="AB33" i="20" s="1"/>
  <c r="AE33" i="20" s="1"/>
  <c r="AA13" i="20"/>
  <c r="AB13" i="20" s="1"/>
  <c r="AE13" i="20" s="1"/>
  <c r="AQ13" i="20"/>
  <c r="Q13" i="20"/>
  <c r="AS13" i="20" s="1"/>
  <c r="AJ30" i="20"/>
  <c r="AK30" i="20" s="1"/>
  <c r="AO29" i="20"/>
  <c r="AP29" i="20" s="1"/>
  <c r="AR29" i="20" s="1"/>
  <c r="AO25" i="20"/>
  <c r="AP25" i="20" s="1"/>
  <c r="AO18" i="20"/>
  <c r="AP18" i="20" s="1"/>
  <c r="AA106" i="20"/>
  <c r="AB106" i="20" s="1"/>
  <c r="AO31" i="20"/>
  <c r="AP31" i="20" s="1"/>
  <c r="AJ10" i="20"/>
  <c r="AK10" i="20" s="1"/>
  <c r="R71" i="20"/>
  <c r="T71" i="20" s="1"/>
  <c r="BI71" i="20" s="1"/>
  <c r="AG100" i="20"/>
  <c r="R107" i="20"/>
  <c r="T87" i="20"/>
  <c r="BI87" i="20" s="1"/>
  <c r="AV55" i="20"/>
  <c r="BL55" i="20" s="1"/>
  <c r="AV76" i="20"/>
  <c r="BL76" i="20" s="1"/>
  <c r="AG76" i="20"/>
  <c r="AG27" i="20"/>
  <c r="AV27" i="20"/>
  <c r="BL27" i="20" s="1"/>
  <c r="AG92" i="20"/>
  <c r="AV92" i="20"/>
  <c r="BL92" i="20" s="1"/>
  <c r="AV108" i="20"/>
  <c r="BL108" i="20" s="1"/>
  <c r="AG108" i="20"/>
  <c r="AV75" i="20"/>
  <c r="BL75" i="20" s="1"/>
  <c r="AV68" i="20"/>
  <c r="BL68" i="20" s="1"/>
  <c r="AG68" i="20"/>
  <c r="AI68" i="20" s="1"/>
  <c r="BF68" i="20" s="1"/>
  <c r="S14" i="20"/>
  <c r="AD29" i="20"/>
  <c r="AH38" i="20"/>
  <c r="U38" i="20"/>
  <c r="V38" i="20" s="1"/>
  <c r="W38" i="20" s="1"/>
  <c r="AD38" i="20"/>
  <c r="S38" i="20"/>
  <c r="AG104" i="20"/>
  <c r="AV104" i="20"/>
  <c r="BL104" i="20" s="1"/>
  <c r="AV60" i="20"/>
  <c r="BL60" i="20" s="1"/>
  <c r="AG60" i="20"/>
  <c r="R79" i="20"/>
  <c r="T79" i="20" s="1"/>
  <c r="BI79" i="20" s="1"/>
  <c r="AV9" i="20"/>
  <c r="BL9" i="20" s="1"/>
  <c r="X38" i="20"/>
  <c r="Y38" i="20" s="1"/>
  <c r="Z38" i="20" s="1"/>
  <c r="X14" i="20"/>
  <c r="Y14" i="20" s="1"/>
  <c r="Z14" i="20" s="1"/>
  <c r="AH14" i="20"/>
  <c r="U14" i="20"/>
  <c r="V14" i="20" s="1"/>
  <c r="W14" i="20" s="1"/>
  <c r="AH29" i="20"/>
  <c r="U29" i="20"/>
  <c r="V29" i="20" s="1"/>
  <c r="W29" i="20" s="1"/>
  <c r="AG99" i="20"/>
  <c r="AV99" i="20"/>
  <c r="BL99" i="20" s="1"/>
  <c r="AG91" i="20"/>
  <c r="AV91" i="20"/>
  <c r="BL91" i="20" s="1"/>
  <c r="AG59" i="20"/>
  <c r="AI59" i="20" s="1"/>
  <c r="BF59" i="20" s="1"/>
  <c r="AV59" i="20"/>
  <c r="BL59" i="20" s="1"/>
  <c r="AG67" i="20"/>
  <c r="AI67" i="20" s="1"/>
  <c r="BF67" i="20" s="1"/>
  <c r="AV67" i="20"/>
  <c r="BL67" i="20" s="1"/>
  <c r="AG95" i="20"/>
  <c r="AI95" i="20" s="1"/>
  <c r="BF95" i="20" s="1"/>
  <c r="AV95" i="20"/>
  <c r="BL95" i="20" s="1"/>
  <c r="AG79" i="20"/>
  <c r="AV79" i="20"/>
  <c r="BL79" i="20" s="1"/>
  <c r="AG103" i="20"/>
  <c r="AI103" i="20" s="1"/>
  <c r="BF103" i="20" s="1"/>
  <c r="AV103" i="20"/>
  <c r="BL103" i="20" s="1"/>
  <c r="AK16" i="20"/>
  <c r="AG51" i="20"/>
  <c r="AI51" i="20" s="1"/>
  <c r="BF51" i="20" s="1"/>
  <c r="AV51" i="20"/>
  <c r="BL51" i="20" s="1"/>
  <c r="R23" i="20"/>
  <c r="K133" i="2"/>
  <c r="M133" i="2" s="1"/>
  <c r="D86" i="2"/>
  <c r="E33" i="1"/>
  <c r="B296" i="2"/>
  <c r="B297" i="2" s="1"/>
  <c r="F4" i="17" s="1"/>
  <c r="E34" i="1"/>
  <c r="B168" i="2"/>
  <c r="E41" i="1" s="1"/>
  <c r="B172" i="2"/>
  <c r="L173" i="2" s="1"/>
  <c r="L174" i="2"/>
  <c r="K173" i="2"/>
  <c r="K168" i="2"/>
  <c r="K167" i="2"/>
  <c r="K195" i="2"/>
  <c r="E52" i="1"/>
  <c r="B137" i="2"/>
  <c r="D61" i="16" s="1"/>
  <c r="B280" i="2"/>
  <c r="F5" i="17" s="1"/>
  <c r="F7" i="17"/>
  <c r="B306" i="2"/>
  <c r="B308" i="2" s="1"/>
  <c r="E68" i="1" s="1"/>
  <c r="H167" i="2"/>
  <c r="E45" i="1"/>
  <c r="N103" i="2"/>
  <c r="N102" i="2"/>
  <c r="P102" i="2"/>
  <c r="BK73" i="21" l="1"/>
  <c r="BE73" i="21" s="1"/>
  <c r="AV61" i="20"/>
  <c r="BL61" i="20" s="1"/>
  <c r="BK40" i="21"/>
  <c r="BE40" i="21" s="1"/>
  <c r="BK87" i="21"/>
  <c r="BE87" i="21" s="1"/>
  <c r="BK90" i="21"/>
  <c r="BE90" i="21" s="1"/>
  <c r="BK82" i="21"/>
  <c r="BE82" i="21" s="1"/>
  <c r="AE43" i="20"/>
  <c r="B318" i="2"/>
  <c r="AE35" i="20"/>
  <c r="AV35" i="20"/>
  <c r="BL35" i="20" s="1"/>
  <c r="AV32" i="20"/>
  <c r="BL32" i="20" s="1"/>
  <c r="R48" i="20"/>
  <c r="T48" i="20" s="1"/>
  <c r="BI48" i="20" s="1"/>
  <c r="AR36" i="20"/>
  <c r="BF36" i="20" s="1"/>
  <c r="AG35" i="20"/>
  <c r="AI35" i="20" s="1"/>
  <c r="BE159" i="20"/>
  <c r="R35" i="20"/>
  <c r="T35" i="20" s="1"/>
  <c r="BI35" i="20" s="1"/>
  <c r="AE32" i="20"/>
  <c r="BJ32" i="20" s="1"/>
  <c r="R32" i="20"/>
  <c r="T32" i="20" s="1"/>
  <c r="BI32" i="20" s="1"/>
  <c r="AN23" i="20"/>
  <c r="AN43" i="20"/>
  <c r="AN15" i="20"/>
  <c r="BE15" i="20" s="1"/>
  <c r="AR28" i="20"/>
  <c r="AE73" i="20"/>
  <c r="AI43" i="20"/>
  <c r="BK43" i="20" s="1"/>
  <c r="R43" i="20"/>
  <c r="T43" i="20" s="1"/>
  <c r="BI43" i="20" s="1"/>
  <c r="AR15" i="20"/>
  <c r="BF15" i="20" s="1"/>
  <c r="AR24" i="20"/>
  <c r="BF24" i="20" s="1"/>
  <c r="AN47" i="20"/>
  <c r="BE47" i="20" s="1"/>
  <c r="AR11" i="20"/>
  <c r="BF11" i="20" s="1"/>
  <c r="R24" i="20"/>
  <c r="T24" i="20" s="1"/>
  <c r="BI24" i="20" s="1"/>
  <c r="AV109" i="20"/>
  <c r="BL109" i="20" s="1"/>
  <c r="AI48" i="20"/>
  <c r="BF48" i="20" s="1"/>
  <c r="R11" i="20"/>
  <c r="T11" i="20" s="1"/>
  <c r="BI11" i="20" s="1"/>
  <c r="AV43" i="20"/>
  <c r="BL43" i="20" s="1"/>
  <c r="AR47" i="20"/>
  <c r="AV47" i="20"/>
  <c r="BL47" i="20" s="1"/>
  <c r="AI17" i="20"/>
  <c r="BK17" i="20" s="1"/>
  <c r="AN88" i="20"/>
  <c r="R47" i="20"/>
  <c r="T47" i="20" s="1"/>
  <c r="BI47" i="20" s="1"/>
  <c r="AR62" i="20"/>
  <c r="AV105" i="20"/>
  <c r="BL105" i="20" s="1"/>
  <c r="AI47" i="20"/>
  <c r="AV48" i="20"/>
  <c r="BL48" i="20" s="1"/>
  <c r="AI15" i="20"/>
  <c r="AN11" i="20"/>
  <c r="BE11" i="20" s="1"/>
  <c r="BE151" i="20"/>
  <c r="AI105" i="20"/>
  <c r="BK105" i="20" s="1"/>
  <c r="AV36" i="20"/>
  <c r="BL36" i="20" s="1"/>
  <c r="BK173" i="20"/>
  <c r="AV39" i="20"/>
  <c r="BL39" i="20" s="1"/>
  <c r="AG90" i="20"/>
  <c r="AI90" i="20" s="1"/>
  <c r="BF90" i="20" s="1"/>
  <c r="AV11" i="20"/>
  <c r="BL11" i="20" s="1"/>
  <c r="AV15" i="20"/>
  <c r="BL15" i="20" s="1"/>
  <c r="AI23" i="20"/>
  <c r="BK23" i="20" s="1"/>
  <c r="R77" i="20"/>
  <c r="T77" i="20" s="1"/>
  <c r="BI77" i="20" s="1"/>
  <c r="R15" i="20"/>
  <c r="T15" i="20" s="1"/>
  <c r="BE24" i="20"/>
  <c r="AG39" i="20"/>
  <c r="AI39" i="20" s="1"/>
  <c r="BK39" i="20" s="1"/>
  <c r="BE32" i="20"/>
  <c r="R20" i="20"/>
  <c r="T20" i="20" s="1"/>
  <c r="BI20" i="20" s="1"/>
  <c r="AR14" i="20"/>
  <c r="BK151" i="20"/>
  <c r="AN16" i="20"/>
  <c r="BE16" i="20" s="1"/>
  <c r="AI49" i="20"/>
  <c r="AI31" i="20"/>
  <c r="BK31" i="20" s="1"/>
  <c r="AI19" i="20"/>
  <c r="AE62" i="20"/>
  <c r="BE62" i="20" s="1"/>
  <c r="BE172" i="20"/>
  <c r="AE77" i="20"/>
  <c r="BE77" i="20" s="1"/>
  <c r="AR16" i="20"/>
  <c r="BF16" i="20" s="1"/>
  <c r="AE36" i="20"/>
  <c r="BF32" i="20"/>
  <c r="AE37" i="20"/>
  <c r="AI88" i="20"/>
  <c r="BK88" i="20" s="1"/>
  <c r="BE160" i="20"/>
  <c r="AE39" i="20"/>
  <c r="BE39" i="20" s="1"/>
  <c r="AE28" i="20"/>
  <c r="BE28" i="20" s="1"/>
  <c r="AV16" i="20"/>
  <c r="BL16" i="20" s="1"/>
  <c r="R89" i="20"/>
  <c r="T89" i="20" s="1"/>
  <c r="BI89" i="20" s="1"/>
  <c r="BK191" i="20"/>
  <c r="AI16" i="20"/>
  <c r="BK16" i="20" s="1"/>
  <c r="R16" i="20"/>
  <c r="T16" i="20" s="1"/>
  <c r="BI16" i="20" s="1"/>
  <c r="BE71" i="20"/>
  <c r="BE76" i="20"/>
  <c r="BF20" i="20"/>
  <c r="BB191" i="20"/>
  <c r="BD191" i="20" s="1"/>
  <c r="BH191" i="20" s="1"/>
  <c r="AR44" i="20"/>
  <c r="AE107" i="20"/>
  <c r="BF96" i="20"/>
  <c r="R70" i="20"/>
  <c r="T70" i="20" s="1"/>
  <c r="BI70" i="20" s="1"/>
  <c r="AI33" i="20"/>
  <c r="BK33" i="20" s="1"/>
  <c r="AV23" i="20"/>
  <c r="BL23" i="20" s="1"/>
  <c r="AR52" i="20"/>
  <c r="BF52" i="20" s="1"/>
  <c r="AV19" i="20"/>
  <c r="BL19" i="20" s="1"/>
  <c r="AE93" i="20"/>
  <c r="BE93" i="20" s="1"/>
  <c r="AI28" i="20"/>
  <c r="BK28" i="20" s="1"/>
  <c r="BK179" i="20"/>
  <c r="AE86" i="20"/>
  <c r="BE86" i="20" s="1"/>
  <c r="T23" i="20"/>
  <c r="BI23" i="20" s="1"/>
  <c r="AV28" i="20"/>
  <c r="BL28" i="20" s="1"/>
  <c r="R62" i="20"/>
  <c r="T62" i="20" s="1"/>
  <c r="BI62" i="20" s="1"/>
  <c r="BJ80" i="20"/>
  <c r="AR39" i="20"/>
  <c r="AV86" i="20"/>
  <c r="BL86" i="20" s="1"/>
  <c r="R28" i="20"/>
  <c r="T28" i="20" s="1"/>
  <c r="BI28" i="20" s="1"/>
  <c r="BF80" i="20"/>
  <c r="BE20" i="20"/>
  <c r="AE12" i="20"/>
  <c r="AI13" i="20"/>
  <c r="BK13" i="20" s="1"/>
  <c r="BJ152" i="20"/>
  <c r="BL25" i="21"/>
  <c r="BF25" i="21" s="1"/>
  <c r="BK59" i="21"/>
  <c r="BE59" i="21" s="1"/>
  <c r="BL30" i="21"/>
  <c r="BF30" i="21" s="1"/>
  <c r="AV88" i="20"/>
  <c r="BL88" i="20" s="1"/>
  <c r="AE70" i="20"/>
  <c r="BE70" i="20" s="1"/>
  <c r="BL83" i="21"/>
  <c r="BF83" i="21" s="1"/>
  <c r="R52" i="20"/>
  <c r="T52" i="20" s="1"/>
  <c r="BI52" i="20" s="1"/>
  <c r="BF152" i="20"/>
  <c r="AI73" i="20"/>
  <c r="BF73" i="20" s="1"/>
  <c r="AE102" i="20"/>
  <c r="BE102" i="20" s="1"/>
  <c r="BJ96" i="20"/>
  <c r="AR19" i="20"/>
  <c r="AV13" i="20"/>
  <c r="BL13" i="20" s="1"/>
  <c r="AV94" i="20"/>
  <c r="BL94" i="20" s="1"/>
  <c r="BF206" i="20"/>
  <c r="AG98" i="20"/>
  <c r="AI98" i="20" s="1"/>
  <c r="BF98" i="20" s="1"/>
  <c r="AN10" i="20"/>
  <c r="BE10" i="20" s="1"/>
  <c r="BF9" i="20"/>
  <c r="AE78" i="20"/>
  <c r="BE78" i="20" s="1"/>
  <c r="AI86" i="20"/>
  <c r="BF86" i="20" s="1"/>
  <c r="AN19" i="20"/>
  <c r="BE19" i="20" s="1"/>
  <c r="R73" i="20"/>
  <c r="T73" i="20" s="1"/>
  <c r="BI73" i="20" s="1"/>
  <c r="AN101" i="20"/>
  <c r="AE52" i="20"/>
  <c r="AN69" i="20"/>
  <c r="BF83" i="20"/>
  <c r="BE206" i="20"/>
  <c r="AI107" i="20"/>
  <c r="BF107" i="20" s="1"/>
  <c r="AE82" i="20"/>
  <c r="BE82" i="20" s="1"/>
  <c r="BJ167" i="20"/>
  <c r="AG89" i="20"/>
  <c r="AI89" i="20" s="1"/>
  <c r="BK89" i="20" s="1"/>
  <c r="AV102" i="20"/>
  <c r="BL102" i="20" s="1"/>
  <c r="AE74" i="20"/>
  <c r="BE74" i="20" s="1"/>
  <c r="R19" i="20"/>
  <c r="T19" i="20" s="1"/>
  <c r="BI19" i="20" s="1"/>
  <c r="R12" i="20"/>
  <c r="T12" i="20" s="1"/>
  <c r="BI12" i="20" s="1"/>
  <c r="AV62" i="20"/>
  <c r="BL62" i="20" s="1"/>
  <c r="R93" i="20"/>
  <c r="T93" i="20" s="1"/>
  <c r="BI93" i="20" s="1"/>
  <c r="AV20" i="20"/>
  <c r="BL20" i="20" s="1"/>
  <c r="R39" i="20"/>
  <c r="T39" i="20" s="1"/>
  <c r="BI39" i="20" s="1"/>
  <c r="AR10" i="20"/>
  <c r="BF10" i="20" s="1"/>
  <c r="R46" i="20"/>
  <c r="T46" i="20" s="1"/>
  <c r="BI46" i="20" s="1"/>
  <c r="BF159" i="20"/>
  <c r="R78" i="20"/>
  <c r="T78" i="20" s="1"/>
  <c r="BI78" i="20" s="1"/>
  <c r="R81" i="20"/>
  <c r="T81" i="20" s="1"/>
  <c r="BI81" i="20" s="1"/>
  <c r="AV12" i="20"/>
  <c r="BL12" i="20" s="1"/>
  <c r="AE72" i="20"/>
  <c r="BE72" i="20" s="1"/>
  <c r="AI62" i="20"/>
  <c r="BK62" i="20" s="1"/>
  <c r="BK64" i="20"/>
  <c r="BB139" i="20"/>
  <c r="BD139" i="20" s="1"/>
  <c r="BH139" i="20" s="1"/>
  <c r="AN26" i="20"/>
  <c r="AN86" i="20"/>
  <c r="BK38" i="21"/>
  <c r="BE38" i="21" s="1"/>
  <c r="BL19" i="21"/>
  <c r="BF19" i="21" s="1"/>
  <c r="BK46" i="21"/>
  <c r="BE46" i="21" s="1"/>
  <c r="BK48" i="21"/>
  <c r="BE48" i="21" s="1"/>
  <c r="BL10" i="21"/>
  <c r="BF10" i="21" s="1"/>
  <c r="BK91" i="21"/>
  <c r="BE91" i="21" s="1"/>
  <c r="BK92" i="21"/>
  <c r="BE92" i="21" s="1"/>
  <c r="BK108" i="21"/>
  <c r="BE108" i="21" s="1"/>
  <c r="BK78" i="21"/>
  <c r="BE78" i="21" s="1"/>
  <c r="BK64" i="21"/>
  <c r="BE64" i="21" s="1"/>
  <c r="BK61" i="21"/>
  <c r="BE61" i="21" s="1"/>
  <c r="BK96" i="21"/>
  <c r="BE96" i="21" s="1"/>
  <c r="BK41" i="21"/>
  <c r="BE41" i="21" s="1"/>
  <c r="BK54" i="21"/>
  <c r="BE54" i="21" s="1"/>
  <c r="BL42" i="21"/>
  <c r="BF42" i="21" s="1"/>
  <c r="BL11" i="21"/>
  <c r="BF11" i="21" s="1"/>
  <c r="BJ179" i="20"/>
  <c r="BL37" i="21"/>
  <c r="BF37" i="21" s="1"/>
  <c r="AR97" i="20"/>
  <c r="AE23" i="20"/>
  <c r="AE41" i="20"/>
  <c r="BE41" i="20" s="1"/>
  <c r="AV82" i="20"/>
  <c r="BL82" i="20" s="1"/>
  <c r="AR102" i="20"/>
  <c r="AN98" i="20"/>
  <c r="AI93" i="20"/>
  <c r="BF93" i="20" s="1"/>
  <c r="AE97" i="20"/>
  <c r="BE97" i="20" s="1"/>
  <c r="BB96" i="20"/>
  <c r="BD96" i="20" s="1"/>
  <c r="BH96" i="20" s="1"/>
  <c r="AG97" i="20"/>
  <c r="AI97" i="20" s="1"/>
  <c r="BF97" i="20" s="1"/>
  <c r="AI104" i="20"/>
  <c r="BF104" i="20" s="1"/>
  <c r="AN14" i="20"/>
  <c r="BE14" i="20" s="1"/>
  <c r="AN36" i="20"/>
  <c r="BJ64" i="20"/>
  <c r="AN81" i="20"/>
  <c r="BF167" i="20"/>
  <c r="AI44" i="20"/>
  <c r="R86" i="20"/>
  <c r="T86" i="20" s="1"/>
  <c r="BI86" i="20" s="1"/>
  <c r="AR89" i="20"/>
  <c r="AE104" i="20"/>
  <c r="BE104" i="20" s="1"/>
  <c r="AR86" i="20"/>
  <c r="AE105" i="20"/>
  <c r="AI69" i="20"/>
  <c r="BK69" i="20" s="1"/>
  <c r="AN44" i="20"/>
  <c r="BJ63" i="20"/>
  <c r="AV93" i="20"/>
  <c r="BL93" i="20" s="1"/>
  <c r="R105" i="20"/>
  <c r="T105" i="20" s="1"/>
  <c r="BI105" i="20" s="1"/>
  <c r="AE106" i="20"/>
  <c r="BE106" i="20" s="1"/>
  <c r="AN30" i="20"/>
  <c r="AG101" i="20"/>
  <c r="AI101" i="20" s="1"/>
  <c r="BK101" i="20" s="1"/>
  <c r="AN13" i="20"/>
  <c r="BE13" i="20" s="1"/>
  <c r="R36" i="20"/>
  <c r="T36" i="20" s="1"/>
  <c r="BI36" i="20" s="1"/>
  <c r="AR82" i="20"/>
  <c r="AE65" i="20"/>
  <c r="BE65" i="20" s="1"/>
  <c r="AG85" i="20"/>
  <c r="AI85" i="20" s="1"/>
  <c r="BF85" i="20" s="1"/>
  <c r="R102" i="20"/>
  <c r="T102" i="20" s="1"/>
  <c r="BI102" i="20" s="1"/>
  <c r="AR66" i="20"/>
  <c r="BJ139" i="20"/>
  <c r="BK139" i="20"/>
  <c r="BF12" i="20"/>
  <c r="R101" i="20"/>
  <c r="T101" i="20" s="1"/>
  <c r="BI101" i="20" s="1"/>
  <c r="BJ196" i="20"/>
  <c r="AE98" i="20"/>
  <c r="BE98" i="20" s="1"/>
  <c r="AE94" i="20"/>
  <c r="BE94" i="20" s="1"/>
  <c r="AE44" i="20"/>
  <c r="BB167" i="20"/>
  <c r="BD167" i="20" s="1"/>
  <c r="BH167" i="20" s="1"/>
  <c r="AI77" i="20"/>
  <c r="BK77" i="20" s="1"/>
  <c r="AN12" i="20"/>
  <c r="AR104" i="20"/>
  <c r="T107" i="20"/>
  <c r="BI107" i="20" s="1"/>
  <c r="AV52" i="20"/>
  <c r="BL52" i="20" s="1"/>
  <c r="R94" i="20"/>
  <c r="T94" i="20" s="1"/>
  <c r="BI94" i="20" s="1"/>
  <c r="AE69" i="20"/>
  <c r="BE69" i="20" s="1"/>
  <c r="BJ151" i="20"/>
  <c r="BL85" i="21"/>
  <c r="BF85" i="21" s="1"/>
  <c r="BL90" i="21"/>
  <c r="BF90" i="21" s="1"/>
  <c r="AI42" i="20"/>
  <c r="BK42" i="20" s="1"/>
  <c r="AI78" i="20"/>
  <c r="BF78" i="20" s="1"/>
  <c r="AE101" i="20"/>
  <c r="BE101" i="20" s="1"/>
  <c r="AV78" i="20"/>
  <c r="BL78" i="20" s="1"/>
  <c r="R65" i="20"/>
  <c r="T65" i="20" s="1"/>
  <c r="BI65" i="20" s="1"/>
  <c r="AI66" i="20"/>
  <c r="BF66" i="20" s="1"/>
  <c r="R98" i="20"/>
  <c r="T98" i="20" s="1"/>
  <c r="BI98" i="20" s="1"/>
  <c r="BB179" i="20"/>
  <c r="BD179" i="20" s="1"/>
  <c r="BH179" i="20" s="1"/>
  <c r="AR61" i="20"/>
  <c r="R44" i="20"/>
  <c r="T44" i="20" s="1"/>
  <c r="BI44" i="20" s="1"/>
  <c r="AV44" i="20"/>
  <c r="BL44" i="20" s="1"/>
  <c r="BB152" i="20"/>
  <c r="BD152" i="20" s="1"/>
  <c r="BH152" i="20" s="1"/>
  <c r="BB181" i="20"/>
  <c r="BD181" i="20" s="1"/>
  <c r="BH181" i="20" s="1"/>
  <c r="BJ159" i="20"/>
  <c r="BB206" i="20"/>
  <c r="BD206" i="20" s="1"/>
  <c r="BH206" i="20" s="1"/>
  <c r="BB159" i="20"/>
  <c r="BD159" i="20" s="1"/>
  <c r="BH159" i="20" s="1"/>
  <c r="BJ181" i="20"/>
  <c r="BL97" i="21"/>
  <c r="BF97" i="21" s="1"/>
  <c r="BK9" i="21"/>
  <c r="BE9" i="21" s="1"/>
  <c r="BJ191" i="20"/>
  <c r="BK70" i="21"/>
  <c r="BE70" i="21" s="1"/>
  <c r="BL101" i="21"/>
  <c r="BF101" i="21" s="1"/>
  <c r="BB172" i="20"/>
  <c r="BD172" i="20" s="1"/>
  <c r="BH172" i="20" s="1"/>
  <c r="BL35" i="21"/>
  <c r="BF35" i="21" s="1"/>
  <c r="BJ172" i="20"/>
  <c r="AE42" i="20"/>
  <c r="BE42" i="20" s="1"/>
  <c r="AE53" i="20"/>
  <c r="AR72" i="20"/>
  <c r="AN52" i="20"/>
  <c r="BE173" i="20"/>
  <c r="BJ173" i="20"/>
  <c r="BB173" i="20"/>
  <c r="BD173" i="20" s="1"/>
  <c r="BH173" i="20" s="1"/>
  <c r="BE196" i="20"/>
  <c r="BK63" i="20"/>
  <c r="AV107" i="20"/>
  <c r="BL107" i="20" s="1"/>
  <c r="BB64" i="20"/>
  <c r="BD64" i="20" s="1"/>
  <c r="BH64" i="20" s="1"/>
  <c r="R97" i="20"/>
  <c r="T97" i="20" s="1"/>
  <c r="BI97" i="20" s="1"/>
  <c r="R82" i="20"/>
  <c r="T82" i="20" s="1"/>
  <c r="BI82" i="20" s="1"/>
  <c r="AE66" i="20"/>
  <c r="BE66" i="20" s="1"/>
  <c r="BJ206" i="20"/>
  <c r="BF112" i="20"/>
  <c r="BF164" i="20"/>
  <c r="BB151" i="20"/>
  <c r="BD151" i="20" s="1"/>
  <c r="BH151" i="20" s="1"/>
  <c r="BF190" i="20"/>
  <c r="BB196" i="20"/>
  <c r="BD196" i="20" s="1"/>
  <c r="BH196" i="20" s="1"/>
  <c r="BE124" i="20"/>
  <c r="BE68" i="20"/>
  <c r="BE176" i="20"/>
  <c r="BE148" i="20"/>
  <c r="BE170" i="20"/>
  <c r="BE164" i="20"/>
  <c r="BE149" i="20"/>
  <c r="BE194" i="20"/>
  <c r="BE130" i="20"/>
  <c r="BE195" i="20"/>
  <c r="BL67" i="21"/>
  <c r="BF67" i="21" s="1"/>
  <c r="BE48" i="20"/>
  <c r="BE200" i="20"/>
  <c r="BE166" i="20"/>
  <c r="AR88" i="20"/>
  <c r="BE89" i="20"/>
  <c r="AS104" i="20"/>
  <c r="R104" i="20"/>
  <c r="T104" i="20" s="1"/>
  <c r="BI104" i="20" s="1"/>
  <c r="AN107" i="20"/>
  <c r="BL55" i="21"/>
  <c r="BF55" i="21" s="1"/>
  <c r="AR23" i="20"/>
  <c r="AR65" i="20"/>
  <c r="AE88" i="20"/>
  <c r="BE88" i="20" s="1"/>
  <c r="BB80" i="20"/>
  <c r="BD80" i="20" s="1"/>
  <c r="BH80" i="20" s="1"/>
  <c r="R72" i="20"/>
  <c r="T72" i="20" s="1"/>
  <c r="BI72" i="20" s="1"/>
  <c r="BK36" i="21"/>
  <c r="BE36" i="21" s="1"/>
  <c r="BK81" i="21"/>
  <c r="BE81" i="21" s="1"/>
  <c r="AI37" i="20"/>
  <c r="BK37" i="20" s="1"/>
  <c r="AI18" i="20"/>
  <c r="BK18" i="20" s="1"/>
  <c r="BE63" i="20"/>
  <c r="BE27" i="20"/>
  <c r="BE55" i="20"/>
  <c r="BE81" i="20"/>
  <c r="AV74" i="20"/>
  <c r="BL74" i="20" s="1"/>
  <c r="BF71" i="20"/>
  <c r="AS88" i="20"/>
  <c r="R88" i="20"/>
  <c r="T88" i="20" s="1"/>
  <c r="BI88" i="20" s="1"/>
  <c r="AG72" i="20"/>
  <c r="AI72" i="20" s="1"/>
  <c r="BF72" i="20" s="1"/>
  <c r="AV72" i="20"/>
  <c r="BL72" i="20" s="1"/>
  <c r="R26" i="20"/>
  <c r="T26" i="20" s="1"/>
  <c r="BI26" i="20" s="1"/>
  <c r="AV31" i="20"/>
  <c r="BL31" i="20" s="1"/>
  <c r="R49" i="20"/>
  <c r="T49" i="20" s="1"/>
  <c r="BI49" i="20" s="1"/>
  <c r="AE30" i="20"/>
  <c r="BK37" i="21"/>
  <c r="BE37" i="21" s="1"/>
  <c r="BK18" i="21"/>
  <c r="BE18" i="21" s="1"/>
  <c r="BK20" i="21"/>
  <c r="BE20" i="21" s="1"/>
  <c r="BL76" i="21"/>
  <c r="BF76" i="21" s="1"/>
  <c r="BK74" i="21"/>
  <c r="BE74" i="21" s="1"/>
  <c r="AN29" i="20"/>
  <c r="AR26" i="20"/>
  <c r="BL82" i="21"/>
  <c r="BF82" i="21" s="1"/>
  <c r="BL106" i="21"/>
  <c r="BF106" i="21" s="1"/>
  <c r="BL47" i="21"/>
  <c r="BF47" i="21" s="1"/>
  <c r="AR30" i="20"/>
  <c r="AN25" i="20"/>
  <c r="BE25" i="20" s="1"/>
  <c r="R33" i="20"/>
  <c r="T33" i="20" s="1"/>
  <c r="BI33" i="20" s="1"/>
  <c r="AE54" i="20"/>
  <c r="AE45" i="20"/>
  <c r="BE45" i="20" s="1"/>
  <c r="AV34" i="20"/>
  <c r="BL34" i="20" s="1"/>
  <c r="R53" i="20"/>
  <c r="T53" i="20" s="1"/>
  <c r="BI53" i="20" s="1"/>
  <c r="R42" i="20"/>
  <c r="T42" i="20" s="1"/>
  <c r="BI42" i="20" s="1"/>
  <c r="BL99" i="21"/>
  <c r="BF99" i="21" s="1"/>
  <c r="BL59" i="21"/>
  <c r="BF59" i="21" s="1"/>
  <c r="AE49" i="20"/>
  <c r="BE49" i="20" s="1"/>
  <c r="AR109" i="20"/>
  <c r="AN31" i="20"/>
  <c r="BE31" i="20" s="1"/>
  <c r="BL81" i="21"/>
  <c r="BF81" i="21" s="1"/>
  <c r="AR17" i="20"/>
  <c r="BF17" i="20" s="1"/>
  <c r="AR21" i="20"/>
  <c r="AN17" i="20"/>
  <c r="AV53" i="20"/>
  <c r="BL53" i="20" s="1"/>
  <c r="R30" i="20"/>
  <c r="T30" i="20" s="1"/>
  <c r="BI30" i="20" s="1"/>
  <c r="BK176" i="20"/>
  <c r="BL36" i="21"/>
  <c r="BF36" i="21" s="1"/>
  <c r="BK44" i="21"/>
  <c r="BE44" i="21" s="1"/>
  <c r="AI21" i="20"/>
  <c r="BK21" i="20" s="1"/>
  <c r="AS31" i="20"/>
  <c r="R31" i="20"/>
  <c r="T31" i="20" s="1"/>
  <c r="BI31" i="20" s="1"/>
  <c r="AV21" i="20"/>
  <c r="BL21" i="20" s="1"/>
  <c r="AR13" i="20"/>
  <c r="BF13" i="20" s="1"/>
  <c r="BJ55" i="20"/>
  <c r="AR33" i="20"/>
  <c r="BJ203" i="20"/>
  <c r="BK165" i="20"/>
  <c r="BJ185" i="20"/>
  <c r="BK208" i="20"/>
  <c r="BK85" i="21"/>
  <c r="BE85" i="21" s="1"/>
  <c r="BL105" i="21"/>
  <c r="BF105" i="21" s="1"/>
  <c r="BE40" i="20"/>
  <c r="BE22" i="20"/>
  <c r="BJ66" i="21"/>
  <c r="BL109" i="21"/>
  <c r="BF109" i="21" s="1"/>
  <c r="AI41" i="20"/>
  <c r="BK41" i="20" s="1"/>
  <c r="BB63" i="20"/>
  <c r="BD63" i="20" s="1"/>
  <c r="BH63" i="20" s="1"/>
  <c r="AE26" i="20"/>
  <c r="BK55" i="20"/>
  <c r="BI63" i="20"/>
  <c r="R29" i="20"/>
  <c r="T29" i="20" s="1"/>
  <c r="BI29" i="20" s="1"/>
  <c r="AV70" i="20"/>
  <c r="BL70" i="20" s="1"/>
  <c r="R37" i="20"/>
  <c r="T37" i="20" s="1"/>
  <c r="BI37" i="20" s="1"/>
  <c r="AV17" i="20"/>
  <c r="BL17" i="20" s="1"/>
  <c r="R85" i="20"/>
  <c r="T85" i="20" s="1"/>
  <c r="BI85" i="20" s="1"/>
  <c r="AE61" i="20"/>
  <c r="BE61" i="20" s="1"/>
  <c r="BK166" i="20"/>
  <c r="BL89" i="21"/>
  <c r="BF89" i="21" s="1"/>
  <c r="BL93" i="21"/>
  <c r="BF93" i="21" s="1"/>
  <c r="BL45" i="21"/>
  <c r="BF45" i="21" s="1"/>
  <c r="BL62" i="21"/>
  <c r="BF62" i="21" s="1"/>
  <c r="AE34" i="20"/>
  <c r="AE46" i="20"/>
  <c r="BE46" i="20" s="1"/>
  <c r="AR49" i="20"/>
  <c r="AV37" i="20"/>
  <c r="BL37" i="20" s="1"/>
  <c r="AI58" i="20"/>
  <c r="AI30" i="20"/>
  <c r="BK30" i="20" s="1"/>
  <c r="BK84" i="20"/>
  <c r="AV29" i="20"/>
  <c r="BL29" i="20" s="1"/>
  <c r="BK87" i="20"/>
  <c r="BK52" i="20"/>
  <c r="AE50" i="20"/>
  <c r="BK134" i="20"/>
  <c r="BB22" i="21"/>
  <c r="BD22" i="21" s="1"/>
  <c r="BH22" i="21" s="1"/>
  <c r="BL43" i="21"/>
  <c r="BF43" i="21" s="1"/>
  <c r="AR42" i="20"/>
  <c r="AR41" i="20"/>
  <c r="BL56" i="21"/>
  <c r="BF56" i="21" s="1"/>
  <c r="BB58" i="21"/>
  <c r="BD58" i="21" s="1"/>
  <c r="BH58" i="21" s="1"/>
  <c r="BL63" i="21"/>
  <c r="BF63" i="21" s="1"/>
  <c r="BJ74" i="21"/>
  <c r="BE35" i="20"/>
  <c r="AN37" i="20"/>
  <c r="BF40" i="20"/>
  <c r="AV18" i="20"/>
  <c r="BL18" i="20" s="1"/>
  <c r="BF22" i="20"/>
  <c r="AI53" i="20"/>
  <c r="BK53" i="20" s="1"/>
  <c r="R50" i="20"/>
  <c r="T50" i="20" s="1"/>
  <c r="BI50" i="20" s="1"/>
  <c r="AN18" i="20"/>
  <c r="BE18" i="20" s="1"/>
  <c r="R41" i="20"/>
  <c r="T41" i="20" s="1"/>
  <c r="BI41" i="20" s="1"/>
  <c r="R61" i="20"/>
  <c r="T61" i="20" s="1"/>
  <c r="BI61" i="20" s="1"/>
  <c r="R66" i="20"/>
  <c r="T66" i="20" s="1"/>
  <c r="BI66" i="20" s="1"/>
  <c r="AR34" i="20"/>
  <c r="BF34" i="20" s="1"/>
  <c r="BK118" i="20"/>
  <c r="BJ208" i="20"/>
  <c r="BK130" i="20"/>
  <c r="BK161" i="20"/>
  <c r="BK25" i="21"/>
  <c r="BE25" i="21" s="1"/>
  <c r="BK39" i="21"/>
  <c r="BE39" i="21" s="1"/>
  <c r="BK68" i="21"/>
  <c r="BE68" i="21" s="1"/>
  <c r="BL15" i="21"/>
  <c r="BF15" i="21" s="1"/>
  <c r="AE57" i="20"/>
  <c r="BE57" i="20" s="1"/>
  <c r="R10" i="20"/>
  <c r="T10" i="20" s="1"/>
  <c r="AV46" i="20"/>
  <c r="BL46" i="20" s="1"/>
  <c r="AI54" i="20"/>
  <c r="BF54" i="20" s="1"/>
  <c r="R57" i="20"/>
  <c r="T57" i="20" s="1"/>
  <c r="BI57" i="20" s="1"/>
  <c r="R54" i="20"/>
  <c r="T54" i="20" s="1"/>
  <c r="BI54" i="20" s="1"/>
  <c r="BJ56" i="20"/>
  <c r="AV41" i="20"/>
  <c r="BL41" i="20" s="1"/>
  <c r="BJ162" i="20"/>
  <c r="BK201" i="20"/>
  <c r="BB118" i="20"/>
  <c r="BD118" i="20" s="1"/>
  <c r="BH118" i="20" s="1"/>
  <c r="BJ165" i="20"/>
  <c r="BJ120" i="20"/>
  <c r="BK120" i="20"/>
  <c r="BB204" i="20"/>
  <c r="BD204" i="20" s="1"/>
  <c r="BH204" i="20" s="1"/>
  <c r="BL86" i="21"/>
  <c r="BF86" i="21" s="1"/>
  <c r="BB74" i="21"/>
  <c r="BD74" i="21" s="1"/>
  <c r="BH74" i="21" s="1"/>
  <c r="BL65" i="21"/>
  <c r="BF65" i="21" s="1"/>
  <c r="BL41" i="21"/>
  <c r="BF41" i="21" s="1"/>
  <c r="BK43" i="21"/>
  <c r="BE43" i="21" s="1"/>
  <c r="BJ45" i="21"/>
  <c r="BL20" i="21"/>
  <c r="BF20" i="21" s="1"/>
  <c r="BL24" i="21"/>
  <c r="BF24" i="21" s="1"/>
  <c r="BJ83" i="20"/>
  <c r="AG61" i="20"/>
  <c r="AI61" i="20" s="1"/>
  <c r="R25" i="20"/>
  <c r="T25" i="20" s="1"/>
  <c r="BI25" i="20" s="1"/>
  <c r="AI38" i="20"/>
  <c r="BF38" i="20" s="1"/>
  <c r="AV38" i="20"/>
  <c r="BL38" i="20" s="1"/>
  <c r="AI45" i="20"/>
  <c r="BK45" i="20" s="1"/>
  <c r="AE58" i="20"/>
  <c r="BE58" i="20" s="1"/>
  <c r="BF178" i="20"/>
  <c r="BK178" i="20"/>
  <c r="R13" i="20"/>
  <c r="T13" i="20" s="1"/>
  <c r="BI13" i="20" s="1"/>
  <c r="BB83" i="20"/>
  <c r="BD83" i="20" s="1"/>
  <c r="BH83" i="20" s="1"/>
  <c r="AV45" i="20"/>
  <c r="BL45" i="20" s="1"/>
  <c r="R34" i="20"/>
  <c r="T34" i="20" s="1"/>
  <c r="BI34" i="20" s="1"/>
  <c r="AR45" i="20"/>
  <c r="AN34" i="20"/>
  <c r="BJ146" i="20"/>
  <c r="BJ150" i="20"/>
  <c r="BK136" i="20"/>
  <c r="BJ166" i="20"/>
  <c r="BJ62" i="21"/>
  <c r="BL96" i="21"/>
  <c r="BF96" i="21" s="1"/>
  <c r="BL104" i="21"/>
  <c r="BF104" i="21" s="1"/>
  <c r="BJ42" i="21"/>
  <c r="BJ47" i="21"/>
  <c r="BL17" i="21"/>
  <c r="BF17" i="21" s="1"/>
  <c r="BK56" i="21"/>
  <c r="BE56" i="21" s="1"/>
  <c r="BK80" i="21"/>
  <c r="BE80" i="21" s="1"/>
  <c r="BL32" i="21"/>
  <c r="BF32" i="21" s="1"/>
  <c r="BK58" i="21"/>
  <c r="BE58" i="21" s="1"/>
  <c r="BB53" i="21"/>
  <c r="BD53" i="21" s="1"/>
  <c r="BH53" i="21" s="1"/>
  <c r="AV42" i="20"/>
  <c r="BL42" i="20" s="1"/>
  <c r="AS45" i="20"/>
  <c r="R45" i="20"/>
  <c r="T45" i="20" s="1"/>
  <c r="BI45" i="20" s="1"/>
  <c r="AR46" i="20"/>
  <c r="BJ106" i="21"/>
  <c r="AN53" i="20"/>
  <c r="AS58" i="20"/>
  <c r="R58" i="20"/>
  <c r="T58" i="20" s="1"/>
  <c r="BI58" i="20" s="1"/>
  <c r="AN21" i="20"/>
  <c r="BE21" i="20" s="1"/>
  <c r="AI29" i="20"/>
  <c r="BF29" i="20" s="1"/>
  <c r="AV81" i="20"/>
  <c r="BL81" i="20" s="1"/>
  <c r="BK75" i="20"/>
  <c r="BB56" i="20"/>
  <c r="BD56" i="20" s="1"/>
  <c r="BH56" i="20" s="1"/>
  <c r="AV57" i="20"/>
  <c r="BL57" i="20" s="1"/>
  <c r="AR58" i="20"/>
  <c r="BK204" i="20"/>
  <c r="BK188" i="20"/>
  <c r="BJ161" i="20"/>
  <c r="BK150" i="20"/>
  <c r="BJ188" i="20"/>
  <c r="BK146" i="20"/>
  <c r="BK203" i="20"/>
  <c r="BJ134" i="20"/>
  <c r="AR57" i="20"/>
  <c r="BL73" i="21"/>
  <c r="BF73" i="21" s="1"/>
  <c r="BL49" i="21"/>
  <c r="BF49" i="21" s="1"/>
  <c r="BL103" i="21"/>
  <c r="BF103" i="21" s="1"/>
  <c r="BL54" i="21"/>
  <c r="BF54" i="21" s="1"/>
  <c r="BL39" i="21"/>
  <c r="BF39" i="21" s="1"/>
  <c r="BL34" i="21"/>
  <c r="BF34" i="21" s="1"/>
  <c r="BL21" i="21"/>
  <c r="BF21" i="21" s="1"/>
  <c r="AV58" i="20"/>
  <c r="BL58" i="20" s="1"/>
  <c r="BJ44" i="21"/>
  <c r="AI57" i="20"/>
  <c r="BK57" i="20" s="1"/>
  <c r="R21" i="20"/>
  <c r="T21" i="20" s="1"/>
  <c r="AV10" i="20"/>
  <c r="BL10" i="20" s="1"/>
  <c r="AG106" i="20"/>
  <c r="AI106" i="20" s="1"/>
  <c r="BF106" i="20" s="1"/>
  <c r="AN38" i="20"/>
  <c r="BJ71" i="20"/>
  <c r="BJ14" i="21"/>
  <c r="BJ43" i="21"/>
  <c r="BL78" i="21"/>
  <c r="BF78" i="21" s="1"/>
  <c r="BL108" i="21"/>
  <c r="BF108" i="21" s="1"/>
  <c r="BL75" i="21"/>
  <c r="BF75" i="21" s="1"/>
  <c r="BL38" i="21"/>
  <c r="BF38" i="21" s="1"/>
  <c r="BL71" i="21"/>
  <c r="BF71" i="21" s="1"/>
  <c r="BB109" i="21"/>
  <c r="BD109" i="21" s="1"/>
  <c r="BH109" i="21" s="1"/>
  <c r="BK57" i="21"/>
  <c r="BE57" i="21" s="1"/>
  <c r="BK26" i="21"/>
  <c r="BE26" i="21" s="1"/>
  <c r="BK52" i="21"/>
  <c r="BE52" i="21" s="1"/>
  <c r="BK60" i="21"/>
  <c r="BE60" i="21" s="1"/>
  <c r="BK100" i="21"/>
  <c r="BE100" i="21" s="1"/>
  <c r="BJ10" i="21"/>
  <c r="BL88" i="21"/>
  <c r="BF88" i="21" s="1"/>
  <c r="BK29" i="21"/>
  <c r="BE29" i="21" s="1"/>
  <c r="BL13" i="21"/>
  <c r="BF13" i="21" s="1"/>
  <c r="BL33" i="21"/>
  <c r="BF33" i="21" s="1"/>
  <c r="BL27" i="21"/>
  <c r="BF27" i="21" s="1"/>
  <c r="BK79" i="21"/>
  <c r="BE79" i="21" s="1"/>
  <c r="BK95" i="21"/>
  <c r="BE95" i="21" s="1"/>
  <c r="BK98" i="21"/>
  <c r="BE98" i="21" s="1"/>
  <c r="BK106" i="21"/>
  <c r="BE106" i="21" s="1"/>
  <c r="BK65" i="21"/>
  <c r="BE65" i="21" s="1"/>
  <c r="BJ67" i="21"/>
  <c r="BJ84" i="21"/>
  <c r="BJ53" i="21"/>
  <c r="BL92" i="21"/>
  <c r="BF92" i="21" s="1"/>
  <c r="BB76" i="21"/>
  <c r="BD76" i="21" s="1"/>
  <c r="BH76" i="21" s="1"/>
  <c r="BL51" i="21"/>
  <c r="BF51" i="21" s="1"/>
  <c r="BL100" i="21"/>
  <c r="BF100" i="21" s="1"/>
  <c r="BB101" i="21"/>
  <c r="BD101" i="21" s="1"/>
  <c r="BH101" i="21" s="1"/>
  <c r="BK53" i="21"/>
  <c r="BE53" i="21" s="1"/>
  <c r="BJ102" i="21"/>
  <c r="BB67" i="21"/>
  <c r="BD67" i="21" s="1"/>
  <c r="BH67" i="21" s="1"/>
  <c r="BJ142" i="20"/>
  <c r="BB45" i="21"/>
  <c r="BD45" i="21" s="1"/>
  <c r="BH45" i="21" s="1"/>
  <c r="BB55" i="21"/>
  <c r="BD55" i="21" s="1"/>
  <c r="BH55" i="21" s="1"/>
  <c r="BL40" i="21"/>
  <c r="BF40" i="21" s="1"/>
  <c r="BL48" i="21"/>
  <c r="BF48" i="21" s="1"/>
  <c r="BL79" i="21"/>
  <c r="BF79" i="21" s="1"/>
  <c r="BL50" i="21"/>
  <c r="BF50" i="21" s="1"/>
  <c r="BL69" i="21"/>
  <c r="BF69" i="21" s="1"/>
  <c r="BL77" i="21"/>
  <c r="BF77" i="21" s="1"/>
  <c r="BJ21" i="21"/>
  <c r="BB66" i="21"/>
  <c r="BD66" i="21" s="1"/>
  <c r="BH66" i="21" s="1"/>
  <c r="BJ76" i="21"/>
  <c r="BL80" i="21"/>
  <c r="BF80" i="21" s="1"/>
  <c r="BL52" i="21"/>
  <c r="BF52" i="21" s="1"/>
  <c r="BJ63" i="21"/>
  <c r="BJ109" i="21"/>
  <c r="BL23" i="21"/>
  <c r="BF23" i="21" s="1"/>
  <c r="BL18" i="21"/>
  <c r="BF18" i="21" s="1"/>
  <c r="BK45" i="21"/>
  <c r="BE45" i="21" s="1"/>
  <c r="BL60" i="21"/>
  <c r="BF60" i="21" s="1"/>
  <c r="BL95" i="21"/>
  <c r="BF95" i="21" s="1"/>
  <c r="BK88" i="21"/>
  <c r="BE88" i="21" s="1"/>
  <c r="BK104" i="21"/>
  <c r="BE104" i="21" s="1"/>
  <c r="BK84" i="21"/>
  <c r="BE84" i="21" s="1"/>
  <c r="BK28" i="21"/>
  <c r="BE28" i="21" s="1"/>
  <c r="BK107" i="21"/>
  <c r="BE107" i="21" s="1"/>
  <c r="BK35" i="21"/>
  <c r="BE35" i="21" s="1"/>
  <c r="BK94" i="21"/>
  <c r="BE94" i="21" s="1"/>
  <c r="BK49" i="21"/>
  <c r="BE49" i="21" s="1"/>
  <c r="BK66" i="21"/>
  <c r="BE66" i="21" s="1"/>
  <c r="BJ55" i="21"/>
  <c r="BJ130" i="20"/>
  <c r="BJ136" i="20"/>
  <c r="BB47" i="21"/>
  <c r="BD47" i="21" s="1"/>
  <c r="BH47" i="21" s="1"/>
  <c r="BJ16" i="21"/>
  <c r="BB83" i="21"/>
  <c r="BD83" i="21" s="1"/>
  <c r="BH83" i="21" s="1"/>
  <c r="BB70" i="21"/>
  <c r="BD70" i="21" s="1"/>
  <c r="BH70" i="21" s="1"/>
  <c r="BJ70" i="21"/>
  <c r="BB63" i="21"/>
  <c r="BD63" i="21" s="1"/>
  <c r="BH63" i="21" s="1"/>
  <c r="BJ32" i="21"/>
  <c r="BJ17" i="21"/>
  <c r="BJ9" i="21"/>
  <c r="BJ83" i="21"/>
  <c r="BL87" i="21"/>
  <c r="BF87" i="21" s="1"/>
  <c r="BJ90" i="21"/>
  <c r="BB30" i="21"/>
  <c r="BD30" i="21" s="1"/>
  <c r="BH30" i="21" s="1"/>
  <c r="BB90" i="21"/>
  <c r="BD90" i="21" s="1"/>
  <c r="BH90" i="21" s="1"/>
  <c r="BB62" i="21"/>
  <c r="BD62" i="21" s="1"/>
  <c r="BH62" i="21" s="1"/>
  <c r="BK67" i="21"/>
  <c r="BE67" i="21" s="1"/>
  <c r="BB14" i="21"/>
  <c r="BD14" i="21" s="1"/>
  <c r="BH14" i="21" s="1"/>
  <c r="BB57" i="21"/>
  <c r="BD57" i="21" s="1"/>
  <c r="BH57" i="21" s="1"/>
  <c r="BI109" i="21"/>
  <c r="BJ57" i="21"/>
  <c r="BB44" i="21"/>
  <c r="BD44" i="21" s="1"/>
  <c r="BH44" i="21" s="1"/>
  <c r="BB106" i="21"/>
  <c r="BD106" i="21" s="1"/>
  <c r="BH106" i="21" s="1"/>
  <c r="BJ18" i="21"/>
  <c r="BI101" i="21"/>
  <c r="BJ58" i="21"/>
  <c r="BB15" i="21"/>
  <c r="BD15" i="21" s="1"/>
  <c r="BH15" i="21" s="1"/>
  <c r="BJ101" i="21"/>
  <c r="BJ34" i="21"/>
  <c r="BB9" i="21"/>
  <c r="BD9" i="21" s="1"/>
  <c r="BH9" i="21" s="1"/>
  <c r="BJ56" i="21"/>
  <c r="BJ11" i="21"/>
  <c r="BJ82" i="21"/>
  <c r="BJ81" i="21"/>
  <c r="BJ93" i="21"/>
  <c r="BJ15" i="21"/>
  <c r="BJ99" i="21"/>
  <c r="BJ72" i="21"/>
  <c r="BJ24" i="21"/>
  <c r="BK102" i="21"/>
  <c r="BE102" i="21" s="1"/>
  <c r="BL14" i="21"/>
  <c r="BF14" i="21" s="1"/>
  <c r="BL46" i="21"/>
  <c r="BF46" i="21" s="1"/>
  <c r="AV49" i="20"/>
  <c r="BL49" i="20" s="1"/>
  <c r="AN54" i="20"/>
  <c r="AR70" i="20"/>
  <c r="AN50" i="20"/>
  <c r="AR69" i="20"/>
  <c r="BJ118" i="20"/>
  <c r="BF137" i="20"/>
  <c r="BJ137" i="20"/>
  <c r="BF160" i="20"/>
  <c r="BJ160" i="20"/>
  <c r="BF135" i="20"/>
  <c r="BJ135" i="20"/>
  <c r="BF115" i="20"/>
  <c r="BJ115" i="20"/>
  <c r="BF199" i="20"/>
  <c r="BJ199" i="20"/>
  <c r="BF123" i="20"/>
  <c r="BJ123" i="20"/>
  <c r="BF149" i="20"/>
  <c r="BJ149" i="20"/>
  <c r="BF177" i="20"/>
  <c r="BJ177" i="20"/>
  <c r="BF186" i="20"/>
  <c r="BJ186" i="20"/>
  <c r="AE38" i="20"/>
  <c r="AR25" i="20"/>
  <c r="AR31" i="20"/>
  <c r="AI109" i="20"/>
  <c r="BF109" i="20" s="1"/>
  <c r="AI70" i="20"/>
  <c r="BF70" i="20" s="1"/>
  <c r="AR81" i="20"/>
  <c r="AI74" i="20"/>
  <c r="AE90" i="20"/>
  <c r="BE90" i="20" s="1"/>
  <c r="AI102" i="20"/>
  <c r="BF102" i="20" s="1"/>
  <c r="BK56" i="20"/>
  <c r="BF183" i="20"/>
  <c r="BJ183" i="20"/>
  <c r="AI94" i="20"/>
  <c r="BF94" i="20" s="1"/>
  <c r="AI92" i="20"/>
  <c r="BF92" i="20" s="1"/>
  <c r="AI27" i="20"/>
  <c r="BB27" i="20" s="1"/>
  <c r="BD27" i="20" s="1"/>
  <c r="BH27" i="20" s="1"/>
  <c r="AI81" i="20"/>
  <c r="BF81" i="20" s="1"/>
  <c r="BK95" i="20"/>
  <c r="BJ67" i="20"/>
  <c r="AE29" i="20"/>
  <c r="AR18" i="20"/>
  <c r="AN109" i="20"/>
  <c r="BE109" i="20" s="1"/>
  <c r="AR74" i="20"/>
  <c r="AE85" i="20"/>
  <c r="BE85" i="20" s="1"/>
  <c r="AI132" i="20"/>
  <c r="BF132" i="20" s="1"/>
  <c r="AI148" i="20"/>
  <c r="BF148" i="20" s="1"/>
  <c r="AI108" i="20"/>
  <c r="BF108" i="20" s="1"/>
  <c r="AI99" i="20"/>
  <c r="BF99" i="20" s="1"/>
  <c r="AI100" i="20"/>
  <c r="BF100" i="20" s="1"/>
  <c r="AI46" i="20"/>
  <c r="AI79" i="20"/>
  <c r="BF79" i="20" s="1"/>
  <c r="BB183" i="20"/>
  <c r="BD183" i="20" s="1"/>
  <c r="BH183" i="20" s="1"/>
  <c r="BJ204" i="20"/>
  <c r="AI76" i="20"/>
  <c r="BF76" i="20" s="1"/>
  <c r="AI60" i="20"/>
  <c r="BF60" i="20" s="1"/>
  <c r="AI82" i="20"/>
  <c r="BF82" i="20" s="1"/>
  <c r="AI91" i="20"/>
  <c r="BF91" i="20" s="1"/>
  <c r="BK12" i="21"/>
  <c r="BE12" i="21" s="1"/>
  <c r="BK32" i="21"/>
  <c r="BE32" i="21" s="1"/>
  <c r="BK17" i="21"/>
  <c r="BE17" i="21" s="1"/>
  <c r="BK99" i="21"/>
  <c r="BE99" i="21" s="1"/>
  <c r="BK34" i="21"/>
  <c r="BE34" i="21" s="1"/>
  <c r="BK72" i="21"/>
  <c r="BE72" i="21" s="1"/>
  <c r="BK10" i="21"/>
  <c r="BE10" i="21" s="1"/>
  <c r="BL26" i="21"/>
  <c r="BF26" i="21" s="1"/>
  <c r="BL12" i="21"/>
  <c r="BF12" i="21" s="1"/>
  <c r="BL64" i="21"/>
  <c r="BF64" i="21" s="1"/>
  <c r="BL107" i="21"/>
  <c r="BF107" i="21" s="1"/>
  <c r="BK16" i="21"/>
  <c r="BE16" i="21" s="1"/>
  <c r="BK19" i="21"/>
  <c r="BE19" i="21" s="1"/>
  <c r="BK13" i="21"/>
  <c r="BE13" i="21" s="1"/>
  <c r="BK33" i="21"/>
  <c r="BE33" i="21" s="1"/>
  <c r="BK103" i="21"/>
  <c r="BE103" i="21" s="1"/>
  <c r="BK71" i="21"/>
  <c r="BE71" i="21" s="1"/>
  <c r="BK50" i="21"/>
  <c r="BE50" i="21" s="1"/>
  <c r="BK31" i="21"/>
  <c r="BE31" i="21" s="1"/>
  <c r="BK51" i="21"/>
  <c r="BE51" i="21" s="1"/>
  <c r="BK27" i="21"/>
  <c r="BE27" i="21" s="1"/>
  <c r="BL29" i="21"/>
  <c r="BF29" i="21" s="1"/>
  <c r="BL16" i="21"/>
  <c r="BF16" i="21" s="1"/>
  <c r="BL28" i="21"/>
  <c r="BF28" i="21" s="1"/>
  <c r="BL91" i="21"/>
  <c r="BF91" i="21" s="1"/>
  <c r="BL61" i="21"/>
  <c r="BF61" i="21" s="1"/>
  <c r="BJ22" i="21"/>
  <c r="BL22" i="21"/>
  <c r="BF22" i="21" s="1"/>
  <c r="BB102" i="21"/>
  <c r="BD102" i="21" s="1"/>
  <c r="BH102" i="21" s="1"/>
  <c r="BB94" i="21"/>
  <c r="BD94" i="21" s="1"/>
  <c r="BH94" i="21" s="1"/>
  <c r="BJ20" i="21"/>
  <c r="BJ35" i="21"/>
  <c r="BB84" i="21"/>
  <c r="BD84" i="21" s="1"/>
  <c r="BH84" i="21" s="1"/>
  <c r="BB93" i="21"/>
  <c r="BD93" i="21" s="1"/>
  <c r="BH93" i="21" s="1"/>
  <c r="BJ28" i="21"/>
  <c r="BJ27" i="21"/>
  <c r="BB97" i="21"/>
  <c r="BD97" i="21" s="1"/>
  <c r="BH97" i="21" s="1"/>
  <c r="BB81" i="21"/>
  <c r="BD81" i="21" s="1"/>
  <c r="BH81" i="21" s="1"/>
  <c r="BB24" i="21"/>
  <c r="BD24" i="21" s="1"/>
  <c r="BH24" i="21" s="1"/>
  <c r="BB89" i="21"/>
  <c r="BD89" i="21" s="1"/>
  <c r="BH89" i="21" s="1"/>
  <c r="BB98" i="21"/>
  <c r="BD98" i="21" s="1"/>
  <c r="BH98" i="21" s="1"/>
  <c r="BB68" i="21"/>
  <c r="BD68" i="21" s="1"/>
  <c r="BH68" i="21" s="1"/>
  <c r="BB105" i="21"/>
  <c r="BD105" i="21" s="1"/>
  <c r="BH105" i="21" s="1"/>
  <c r="BB11" i="21"/>
  <c r="BD11" i="21" s="1"/>
  <c r="BH11" i="21" s="1"/>
  <c r="BJ59" i="21"/>
  <c r="BJ85" i="21"/>
  <c r="BJ68" i="21"/>
  <c r="BJ98" i="21"/>
  <c r="BB21" i="21"/>
  <c r="BD21" i="21" s="1"/>
  <c r="BH21" i="21" s="1"/>
  <c r="BJ25" i="21"/>
  <c r="BJ12" i="21"/>
  <c r="BJ89" i="21"/>
  <c r="BJ94" i="21"/>
  <c r="BJ71" i="21"/>
  <c r="BJ37" i="21"/>
  <c r="BJ30" i="21"/>
  <c r="AN23" i="21"/>
  <c r="BJ23" i="21" s="1"/>
  <c r="BJ26" i="21"/>
  <c r="BJ107" i="21"/>
  <c r="BJ105" i="21"/>
  <c r="BB46" i="21"/>
  <c r="BD46" i="21" s="1"/>
  <c r="BH46" i="21" s="1"/>
  <c r="BB49" i="21"/>
  <c r="BD49" i="21" s="1"/>
  <c r="BH49" i="21" s="1"/>
  <c r="BJ31" i="21"/>
  <c r="BJ13" i="21"/>
  <c r="BJ91" i="21"/>
  <c r="BB52" i="21"/>
  <c r="BD52" i="21" s="1"/>
  <c r="BH52" i="21" s="1"/>
  <c r="BJ29" i="21"/>
  <c r="BJ97" i="21"/>
  <c r="BB82" i="21"/>
  <c r="BD82" i="21" s="1"/>
  <c r="BH82" i="21" s="1"/>
  <c r="BB72" i="21"/>
  <c r="BD72" i="21" s="1"/>
  <c r="BH72" i="21" s="1"/>
  <c r="BJ41" i="21"/>
  <c r="BB41" i="21"/>
  <c r="BD41" i="21" s="1"/>
  <c r="BH41" i="21" s="1"/>
  <c r="BI43" i="21"/>
  <c r="BB43" i="21"/>
  <c r="BD43" i="21" s="1"/>
  <c r="BH43" i="21" s="1"/>
  <c r="BJ33" i="21"/>
  <c r="BJ19" i="21"/>
  <c r="BB50" i="21"/>
  <c r="BD50" i="21" s="1"/>
  <c r="BH50" i="21" s="1"/>
  <c r="BJ87" i="21"/>
  <c r="BB54" i="21"/>
  <c r="BD54" i="21" s="1"/>
  <c r="BH54" i="21" s="1"/>
  <c r="BB59" i="21"/>
  <c r="BD59" i="21" s="1"/>
  <c r="BB56" i="21"/>
  <c r="BD56" i="21" s="1"/>
  <c r="BH56" i="21" s="1"/>
  <c r="BJ40" i="21"/>
  <c r="BB40" i="21"/>
  <c r="BD40" i="21" s="1"/>
  <c r="BH40" i="21" s="1"/>
  <c r="BB48" i="21"/>
  <c r="BD48" i="21" s="1"/>
  <c r="BH48" i="21" s="1"/>
  <c r="BJ92" i="21"/>
  <c r="BJ108" i="21"/>
  <c r="BJ73" i="21"/>
  <c r="BJ77" i="21"/>
  <c r="BI75" i="21"/>
  <c r="BB75" i="21"/>
  <c r="BD75" i="21" s="1"/>
  <c r="BH75" i="21" s="1"/>
  <c r="BJ60" i="21"/>
  <c r="BI60" i="21"/>
  <c r="BB60" i="21"/>
  <c r="BD60" i="21" s="1"/>
  <c r="BH60" i="21" s="1"/>
  <c r="BI33" i="21"/>
  <c r="BB33" i="21"/>
  <c r="BD33" i="21" s="1"/>
  <c r="BH33" i="21" s="1"/>
  <c r="BJ104" i="21"/>
  <c r="BJ79" i="21"/>
  <c r="BJ80" i="21"/>
  <c r="BJ36" i="21"/>
  <c r="BI39" i="21"/>
  <c r="BB39" i="21"/>
  <c r="BD39" i="21" s="1"/>
  <c r="BH39" i="21" s="1"/>
  <c r="BI37" i="21"/>
  <c r="BB37" i="21"/>
  <c r="BD37" i="21" s="1"/>
  <c r="BH37" i="21" s="1"/>
  <c r="BJ95" i="21"/>
  <c r="BI78" i="21"/>
  <c r="BB78" i="21"/>
  <c r="BD78" i="21" s="1"/>
  <c r="BH78" i="21" s="1"/>
  <c r="BI26" i="21"/>
  <c r="BB26" i="21"/>
  <c r="BD26" i="21" s="1"/>
  <c r="BH26" i="21" s="1"/>
  <c r="BI28" i="21"/>
  <c r="BB28" i="21"/>
  <c r="BD28" i="21" s="1"/>
  <c r="BH28" i="21" s="1"/>
  <c r="BJ64" i="21"/>
  <c r="BI64" i="21"/>
  <c r="BB64" i="21"/>
  <c r="BD64" i="21" s="1"/>
  <c r="BH64" i="21" s="1"/>
  <c r="BI73" i="21"/>
  <c r="BB73" i="21"/>
  <c r="BD73" i="21" s="1"/>
  <c r="BH73" i="21" s="1"/>
  <c r="BI88" i="21"/>
  <c r="BB88" i="21"/>
  <c r="BD88" i="21" s="1"/>
  <c r="BH88" i="21" s="1"/>
  <c r="BI87" i="21"/>
  <c r="BB87" i="21"/>
  <c r="BD87" i="21" s="1"/>
  <c r="BH87" i="21" s="1"/>
  <c r="BB42" i="21"/>
  <c r="BD42" i="21" s="1"/>
  <c r="BH42" i="21" s="1"/>
  <c r="BI25" i="21"/>
  <c r="BB25" i="21"/>
  <c r="BD25" i="21" s="1"/>
  <c r="BH25" i="21" s="1"/>
  <c r="BJ75" i="21"/>
  <c r="BJ48" i="21"/>
  <c r="BJ96" i="21"/>
  <c r="BI79" i="21"/>
  <c r="BB79" i="21"/>
  <c r="BD79" i="21" s="1"/>
  <c r="BH79" i="21" s="1"/>
  <c r="BI77" i="21"/>
  <c r="BB77" i="21"/>
  <c r="BD77" i="21" s="1"/>
  <c r="BH77" i="21" s="1"/>
  <c r="BI19" i="21"/>
  <c r="BB19" i="21"/>
  <c r="BD19" i="21" s="1"/>
  <c r="BI95" i="21"/>
  <c r="BB95" i="21"/>
  <c r="BD95" i="21" s="1"/>
  <c r="BH95" i="21" s="1"/>
  <c r="BJ78" i="21"/>
  <c r="BJ38" i="21"/>
  <c r="BI34" i="21"/>
  <c r="BB34" i="21"/>
  <c r="BD34" i="21" s="1"/>
  <c r="BH34" i="21" s="1"/>
  <c r="BI10" i="21"/>
  <c r="BB10" i="21"/>
  <c r="BD10" i="21" s="1"/>
  <c r="BH10" i="21" s="1"/>
  <c r="BI108" i="21"/>
  <c r="BB108" i="21"/>
  <c r="BD108" i="21" s="1"/>
  <c r="BH108" i="21" s="1"/>
  <c r="BB36" i="21"/>
  <c r="BD36" i="21" s="1"/>
  <c r="BH36" i="21" s="1"/>
  <c r="BI17" i="21"/>
  <c r="BB17" i="21"/>
  <c r="BD17" i="21" s="1"/>
  <c r="BH17" i="21" s="1"/>
  <c r="BI18" i="21"/>
  <c r="BB18" i="21"/>
  <c r="BD18" i="21" s="1"/>
  <c r="BH18" i="21" s="1"/>
  <c r="BI20" i="21"/>
  <c r="BB20" i="21"/>
  <c r="BD20" i="21" s="1"/>
  <c r="BH20" i="21" s="1"/>
  <c r="BJ39" i="21"/>
  <c r="BI86" i="21"/>
  <c r="BB86" i="21"/>
  <c r="BD86" i="21" s="1"/>
  <c r="BH86" i="21" s="1"/>
  <c r="BJ69" i="21"/>
  <c r="BI69" i="21"/>
  <c r="BB69" i="21"/>
  <c r="BD69" i="21" s="1"/>
  <c r="BH69" i="21" s="1"/>
  <c r="BI16" i="21"/>
  <c r="BB16" i="21"/>
  <c r="BD16" i="21" s="1"/>
  <c r="BH16" i="21" s="1"/>
  <c r="BI96" i="21"/>
  <c r="BB96" i="21"/>
  <c r="BD96" i="21" s="1"/>
  <c r="BH96" i="21" s="1"/>
  <c r="BJ49" i="21"/>
  <c r="BI13" i="21"/>
  <c r="BB13" i="21"/>
  <c r="BD13" i="21" s="1"/>
  <c r="BH13" i="21" s="1"/>
  <c r="BI103" i="21"/>
  <c r="BB103" i="21"/>
  <c r="BD103" i="21" s="1"/>
  <c r="BH103" i="21" s="1"/>
  <c r="BI29" i="21"/>
  <c r="BB29" i="21"/>
  <c r="BD29" i="21" s="1"/>
  <c r="BH29" i="21" s="1"/>
  <c r="BB35" i="21"/>
  <c r="BD35" i="21" s="1"/>
  <c r="BH35" i="21" s="1"/>
  <c r="BI85" i="21"/>
  <c r="BB85" i="21"/>
  <c r="BD85" i="21" s="1"/>
  <c r="BH85" i="21" s="1"/>
  <c r="BI100" i="21"/>
  <c r="BB100" i="21"/>
  <c r="BD100" i="21" s="1"/>
  <c r="BH100" i="21" s="1"/>
  <c r="BI27" i="21"/>
  <c r="BB27" i="21"/>
  <c r="BD27" i="21" s="1"/>
  <c r="BH27" i="21" s="1"/>
  <c r="BJ61" i="21"/>
  <c r="BI61" i="21"/>
  <c r="BB61" i="21"/>
  <c r="BD61" i="21" s="1"/>
  <c r="BH61" i="21" s="1"/>
  <c r="BI91" i="21"/>
  <c r="BB91" i="21"/>
  <c r="BD91" i="21" s="1"/>
  <c r="BH91" i="21" s="1"/>
  <c r="BI107" i="21"/>
  <c r="BB107" i="21"/>
  <c r="BD107" i="21" s="1"/>
  <c r="BH107" i="21" s="1"/>
  <c r="BJ86" i="21"/>
  <c r="BI31" i="21"/>
  <c r="BB31" i="21"/>
  <c r="BD31" i="21" s="1"/>
  <c r="BH31" i="21" s="1"/>
  <c r="BI12" i="21"/>
  <c r="BB12" i="21"/>
  <c r="BD12" i="21" s="1"/>
  <c r="BH12" i="21" s="1"/>
  <c r="BI104" i="21"/>
  <c r="BB104" i="21"/>
  <c r="BD104" i="21" s="1"/>
  <c r="BH104" i="21" s="1"/>
  <c r="BI80" i="21"/>
  <c r="BB80" i="21"/>
  <c r="BD80" i="21" s="1"/>
  <c r="BH80" i="21" s="1"/>
  <c r="BJ54" i="21"/>
  <c r="BJ65" i="21"/>
  <c r="BI65" i="21"/>
  <c r="BB65" i="21"/>
  <c r="BD65" i="21" s="1"/>
  <c r="BH65" i="21" s="1"/>
  <c r="BJ52" i="21"/>
  <c r="BI23" i="21"/>
  <c r="BJ103" i="21"/>
  <c r="BB38" i="21"/>
  <c r="BD38" i="21" s="1"/>
  <c r="BH38" i="21" s="1"/>
  <c r="BJ50" i="21"/>
  <c r="BI32" i="21"/>
  <c r="BB32" i="21"/>
  <c r="BD32" i="21" s="1"/>
  <c r="BH32" i="21" s="1"/>
  <c r="BJ51" i="21"/>
  <c r="BI92" i="21"/>
  <c r="BB92" i="21"/>
  <c r="BD92" i="21" s="1"/>
  <c r="BH92" i="21" s="1"/>
  <c r="BJ100" i="21"/>
  <c r="BJ88" i="21"/>
  <c r="BJ46" i="21"/>
  <c r="BI99" i="21"/>
  <c r="BB99" i="21"/>
  <c r="BD99" i="21" s="1"/>
  <c r="BH99" i="21" s="1"/>
  <c r="BI71" i="21"/>
  <c r="BB71" i="21"/>
  <c r="BD71" i="21" s="1"/>
  <c r="BH71" i="21" s="1"/>
  <c r="BB51" i="21"/>
  <c r="BD51" i="21" s="1"/>
  <c r="BH51" i="21" s="1"/>
  <c r="BK202" i="20"/>
  <c r="BJ202" i="20"/>
  <c r="BI150" i="20"/>
  <c r="BB150" i="20"/>
  <c r="BD150" i="20" s="1"/>
  <c r="BH150" i="20" s="1"/>
  <c r="BK207" i="20"/>
  <c r="BK129" i="20"/>
  <c r="BJ129" i="20"/>
  <c r="BK113" i="20"/>
  <c r="BK169" i="20"/>
  <c r="BK112" i="20"/>
  <c r="BJ112" i="20"/>
  <c r="BJ163" i="20"/>
  <c r="BI163" i="20"/>
  <c r="BB163" i="20"/>
  <c r="BD163" i="20" s="1"/>
  <c r="BH163" i="20" s="1"/>
  <c r="BK194" i="20"/>
  <c r="BI202" i="20"/>
  <c r="BB202" i="20"/>
  <c r="BD202" i="20" s="1"/>
  <c r="BH202" i="20" s="1"/>
  <c r="BJ141" i="20"/>
  <c r="BI141" i="20"/>
  <c r="BB141" i="20"/>
  <c r="BD141" i="20" s="1"/>
  <c r="BH141" i="20" s="1"/>
  <c r="BK157" i="20"/>
  <c r="BK198" i="20"/>
  <c r="BJ187" i="20"/>
  <c r="BI176" i="20"/>
  <c r="BB176" i="20"/>
  <c r="BD176" i="20" s="1"/>
  <c r="BH176" i="20" s="1"/>
  <c r="BJ184" i="20"/>
  <c r="BI184" i="20"/>
  <c r="BB184" i="20"/>
  <c r="BD184" i="20" s="1"/>
  <c r="BH184" i="20" s="1"/>
  <c r="BK110" i="20"/>
  <c r="BJ125" i="20"/>
  <c r="BK125" i="20"/>
  <c r="BI125" i="20"/>
  <c r="BB125" i="20"/>
  <c r="BD125" i="20" s="1"/>
  <c r="BH125" i="20" s="1"/>
  <c r="BK133" i="20"/>
  <c r="BI133" i="20"/>
  <c r="BB133" i="20"/>
  <c r="BD133" i="20" s="1"/>
  <c r="BH133" i="20" s="1"/>
  <c r="BK119" i="20"/>
  <c r="BK209" i="20"/>
  <c r="BI177" i="20"/>
  <c r="BB177" i="20"/>
  <c r="BD177" i="20" s="1"/>
  <c r="BH177" i="20" s="1"/>
  <c r="BI186" i="20"/>
  <c r="BB186" i="20"/>
  <c r="BD186" i="20" s="1"/>
  <c r="BH186" i="20" s="1"/>
  <c r="BI132" i="20"/>
  <c r="BI198" i="20"/>
  <c r="BB198" i="20"/>
  <c r="BD198" i="20" s="1"/>
  <c r="BH198" i="20" s="1"/>
  <c r="BK162" i="20"/>
  <c r="BJ127" i="20"/>
  <c r="BI148" i="20"/>
  <c r="BK123" i="20"/>
  <c r="BK131" i="20"/>
  <c r="BI131" i="20"/>
  <c r="BB131" i="20"/>
  <c r="BD131" i="20" s="1"/>
  <c r="BH131" i="20" s="1"/>
  <c r="BJ205" i="20"/>
  <c r="BK168" i="20"/>
  <c r="BK135" i="20"/>
  <c r="BK175" i="20"/>
  <c r="BK114" i="20"/>
  <c r="BJ121" i="20"/>
  <c r="BI129" i="20"/>
  <c r="BB129" i="20"/>
  <c r="BD129" i="20" s="1"/>
  <c r="BH129" i="20" s="1"/>
  <c r="BI158" i="20"/>
  <c r="BB158" i="20"/>
  <c r="BD158" i="20" s="1"/>
  <c r="BH158" i="20" s="1"/>
  <c r="BI189" i="20"/>
  <c r="BB189" i="20"/>
  <c r="BD189" i="20" s="1"/>
  <c r="BH189" i="20" s="1"/>
  <c r="BK189" i="20"/>
  <c r="BI185" i="20"/>
  <c r="BB185" i="20"/>
  <c r="BD185" i="20" s="1"/>
  <c r="BH185" i="20" s="1"/>
  <c r="BJ182" i="20"/>
  <c r="BI208" i="20"/>
  <c r="BB208" i="20"/>
  <c r="BD208" i="20" s="1"/>
  <c r="BH208" i="20" s="1"/>
  <c r="BI161" i="20"/>
  <c r="BB161" i="20"/>
  <c r="BD161" i="20" s="1"/>
  <c r="BH161" i="20" s="1"/>
  <c r="BI134" i="20"/>
  <c r="BB134" i="20"/>
  <c r="BD134" i="20" s="1"/>
  <c r="BH134" i="20" s="1"/>
  <c r="BI199" i="20"/>
  <c r="BB199" i="20"/>
  <c r="BD199" i="20" s="1"/>
  <c r="BH199" i="20" s="1"/>
  <c r="BJ174" i="20"/>
  <c r="BI157" i="20"/>
  <c r="BB157" i="20"/>
  <c r="BD157" i="20" s="1"/>
  <c r="BH157" i="20" s="1"/>
  <c r="BK140" i="20"/>
  <c r="BI165" i="20"/>
  <c r="BB165" i="20"/>
  <c r="BD165" i="20" s="1"/>
  <c r="BH165" i="20" s="1"/>
  <c r="BJ110" i="20"/>
  <c r="BI110" i="20"/>
  <c r="BB110" i="20"/>
  <c r="BD110" i="20" s="1"/>
  <c r="BH110" i="20" s="1"/>
  <c r="BI126" i="20"/>
  <c r="BB126" i="20"/>
  <c r="BD126" i="20" s="1"/>
  <c r="BH126" i="20" s="1"/>
  <c r="BJ119" i="20"/>
  <c r="BJ209" i="20"/>
  <c r="BJ194" i="20"/>
  <c r="BJ201" i="20"/>
  <c r="BI201" i="20"/>
  <c r="BB201" i="20"/>
  <c r="BD201" i="20" s="1"/>
  <c r="BH201" i="20" s="1"/>
  <c r="BI123" i="20"/>
  <c r="BB123" i="20"/>
  <c r="BD123" i="20" s="1"/>
  <c r="BH123" i="20" s="1"/>
  <c r="BK147" i="20"/>
  <c r="BJ144" i="20"/>
  <c r="BI144" i="20"/>
  <c r="BB144" i="20"/>
  <c r="BD144" i="20" s="1"/>
  <c r="BH144" i="20" s="1"/>
  <c r="BK192" i="20"/>
  <c r="BK142" i="20"/>
  <c r="BJ153" i="20"/>
  <c r="BJ111" i="20"/>
  <c r="BK111" i="20"/>
  <c r="BI111" i="20"/>
  <c r="BB111" i="20"/>
  <c r="BD111" i="20" s="1"/>
  <c r="BH111" i="20" s="1"/>
  <c r="BI135" i="20"/>
  <c r="BB135" i="20"/>
  <c r="BD135" i="20" s="1"/>
  <c r="BH135" i="20" s="1"/>
  <c r="BI175" i="20"/>
  <c r="BB175" i="20"/>
  <c r="BD175" i="20" s="1"/>
  <c r="BH175" i="20" s="1"/>
  <c r="BJ114" i="20"/>
  <c r="BI114" i="20"/>
  <c r="BB114" i="20"/>
  <c r="BD114" i="20" s="1"/>
  <c r="BH114" i="20" s="1"/>
  <c r="BJ154" i="20"/>
  <c r="BJ170" i="20"/>
  <c r="BJ189" i="20"/>
  <c r="BJ164" i="20"/>
  <c r="BI164" i="20"/>
  <c r="BB164" i="20"/>
  <c r="BD164" i="20" s="1"/>
  <c r="BH164" i="20" s="1"/>
  <c r="BK200" i="20"/>
  <c r="BI174" i="20"/>
  <c r="BB174" i="20"/>
  <c r="BD174" i="20" s="1"/>
  <c r="BH174" i="20" s="1"/>
  <c r="BK174" i="20"/>
  <c r="BK141" i="20"/>
  <c r="BJ140" i="20"/>
  <c r="BI140" i="20"/>
  <c r="BB140" i="20"/>
  <c r="BD140" i="20" s="1"/>
  <c r="BH140" i="20" s="1"/>
  <c r="BJ113" i="20"/>
  <c r="BI113" i="20"/>
  <c r="BB113" i="20"/>
  <c r="BD113" i="20" s="1"/>
  <c r="BH113" i="20" s="1"/>
  <c r="BJ176" i="20"/>
  <c r="BK126" i="20"/>
  <c r="BK149" i="20"/>
  <c r="BI149" i="20"/>
  <c r="BB149" i="20"/>
  <c r="BD149" i="20" s="1"/>
  <c r="BH149" i="20" s="1"/>
  <c r="BJ200" i="20"/>
  <c r="BJ198" i="20"/>
  <c r="BK122" i="20"/>
  <c r="BI146" i="20"/>
  <c r="BB146" i="20"/>
  <c r="BD146" i="20" s="1"/>
  <c r="BH146" i="20" s="1"/>
  <c r="BJ178" i="20"/>
  <c r="BI178" i="20"/>
  <c r="BB178" i="20"/>
  <c r="BD178" i="20" s="1"/>
  <c r="BH178" i="20" s="1"/>
  <c r="BI136" i="20"/>
  <c r="BB136" i="20"/>
  <c r="BD136" i="20" s="1"/>
  <c r="BH136" i="20" s="1"/>
  <c r="BJ131" i="20"/>
  <c r="BJ147" i="20"/>
  <c r="BI147" i="20"/>
  <c r="BB147" i="20"/>
  <c r="BD147" i="20" s="1"/>
  <c r="BH147" i="20" s="1"/>
  <c r="BI197" i="20"/>
  <c r="BB197" i="20"/>
  <c r="BD197" i="20" s="1"/>
  <c r="BH197" i="20" s="1"/>
  <c r="BJ207" i="20"/>
  <c r="BI207" i="20"/>
  <c r="BB207" i="20"/>
  <c r="BD207" i="20" s="1"/>
  <c r="BH207" i="20" s="1"/>
  <c r="BI203" i="20"/>
  <c r="BB203" i="20"/>
  <c r="BD203" i="20" s="1"/>
  <c r="BH203" i="20" s="1"/>
  <c r="BI128" i="20"/>
  <c r="BB128" i="20"/>
  <c r="BD128" i="20" s="1"/>
  <c r="BH128" i="20" s="1"/>
  <c r="BK144" i="20"/>
  <c r="BI168" i="20"/>
  <c r="BB168" i="20"/>
  <c r="BD168" i="20" s="1"/>
  <c r="BH168" i="20" s="1"/>
  <c r="BJ192" i="20"/>
  <c r="BI192" i="20"/>
  <c r="BB192" i="20"/>
  <c r="BD192" i="20" s="1"/>
  <c r="BH192" i="20" s="1"/>
  <c r="BK195" i="20"/>
  <c r="BJ190" i="20"/>
  <c r="BI153" i="20"/>
  <c r="BB153" i="20"/>
  <c r="BD153" i="20" s="1"/>
  <c r="BH153" i="20" s="1"/>
  <c r="BK138" i="20"/>
  <c r="BI154" i="20"/>
  <c r="BB154" i="20"/>
  <c r="BD154" i="20" s="1"/>
  <c r="BH154" i="20" s="1"/>
  <c r="BI170" i="20"/>
  <c r="BB170" i="20"/>
  <c r="BD170" i="20" s="1"/>
  <c r="BH170" i="20" s="1"/>
  <c r="BJ145" i="20"/>
  <c r="BI112" i="20"/>
  <c r="BB112" i="20"/>
  <c r="BD112" i="20" s="1"/>
  <c r="BH112" i="20" s="1"/>
  <c r="BI142" i="20"/>
  <c r="BB142" i="20"/>
  <c r="BD142" i="20" s="1"/>
  <c r="BH142" i="20" s="1"/>
  <c r="BJ124" i="20"/>
  <c r="BK164" i="20"/>
  <c r="BI166" i="20"/>
  <c r="BB166" i="20"/>
  <c r="BD166" i="20" s="1"/>
  <c r="BH166" i="20" s="1"/>
  <c r="BI117" i="20"/>
  <c r="BB117" i="20"/>
  <c r="BD117" i="20" s="1"/>
  <c r="BH117" i="20" s="1"/>
  <c r="BI115" i="20"/>
  <c r="BB115" i="20"/>
  <c r="BD115" i="20" s="1"/>
  <c r="BH115" i="20" s="1"/>
  <c r="BI188" i="20"/>
  <c r="BB188" i="20"/>
  <c r="BD188" i="20" s="1"/>
  <c r="BH188" i="20" s="1"/>
  <c r="BK163" i="20"/>
  <c r="BK158" i="20"/>
  <c r="BJ157" i="20"/>
  <c r="BK187" i="20"/>
  <c r="BI187" i="20"/>
  <c r="BB187" i="20"/>
  <c r="BD187" i="20" s="1"/>
  <c r="BH187" i="20" s="1"/>
  <c r="BK184" i="20"/>
  <c r="BJ126" i="20"/>
  <c r="BJ133" i="20"/>
  <c r="BI119" i="20"/>
  <c r="BB119" i="20"/>
  <c r="BD119" i="20" s="1"/>
  <c r="BH119" i="20" s="1"/>
  <c r="BI209" i="20"/>
  <c r="BB209" i="20"/>
  <c r="BD209" i="20" s="1"/>
  <c r="BI200" i="20"/>
  <c r="BB200" i="20"/>
  <c r="BD200" i="20" s="1"/>
  <c r="BH200" i="20" s="1"/>
  <c r="BK177" i="20"/>
  <c r="BK186" i="20"/>
  <c r="BI194" i="20"/>
  <c r="BB194" i="20"/>
  <c r="BD194" i="20" s="1"/>
  <c r="BH194" i="20" s="1"/>
  <c r="BJ122" i="20"/>
  <c r="BI122" i="20"/>
  <c r="BB122" i="20"/>
  <c r="BD122" i="20" s="1"/>
  <c r="BH122" i="20" s="1"/>
  <c r="BI130" i="20"/>
  <c r="BB130" i="20"/>
  <c r="BD130" i="20" s="1"/>
  <c r="BH130" i="20" s="1"/>
  <c r="BI162" i="20"/>
  <c r="BB162" i="20"/>
  <c r="BD162" i="20" s="1"/>
  <c r="BH162" i="20" s="1"/>
  <c r="BI137" i="20"/>
  <c r="BB137" i="20"/>
  <c r="BD137" i="20" s="1"/>
  <c r="BH137" i="20" s="1"/>
  <c r="BK137" i="20"/>
  <c r="BI120" i="20"/>
  <c r="BB120" i="20"/>
  <c r="BD120" i="20" s="1"/>
  <c r="BH120" i="20" s="1"/>
  <c r="BK127" i="20"/>
  <c r="BI127" i="20"/>
  <c r="BB127" i="20"/>
  <c r="BD127" i="20" s="1"/>
  <c r="BH127" i="20" s="1"/>
  <c r="BJ197" i="20"/>
  <c r="BK197" i="20"/>
  <c r="BI205" i="20"/>
  <c r="BB205" i="20"/>
  <c r="BD205" i="20" s="1"/>
  <c r="BH205" i="20" s="1"/>
  <c r="BK205" i="20"/>
  <c r="BJ128" i="20"/>
  <c r="BK128" i="20"/>
  <c r="BJ168" i="20"/>
  <c r="BJ195" i="20"/>
  <c r="BI195" i="20"/>
  <c r="BB195" i="20"/>
  <c r="BD195" i="20" s="1"/>
  <c r="BH195" i="20" s="1"/>
  <c r="BJ169" i="20"/>
  <c r="BI169" i="20"/>
  <c r="BB169" i="20"/>
  <c r="BD169" i="20" s="1"/>
  <c r="BH169" i="20" s="1"/>
  <c r="BI190" i="20"/>
  <c r="BB190" i="20"/>
  <c r="BD190" i="20" s="1"/>
  <c r="BH190" i="20" s="1"/>
  <c r="BK190" i="20"/>
  <c r="BK153" i="20"/>
  <c r="BI160" i="20"/>
  <c r="BB160" i="20"/>
  <c r="BD160" i="20" s="1"/>
  <c r="BH160" i="20" s="1"/>
  <c r="BK160" i="20"/>
  <c r="BJ175" i="20"/>
  <c r="BK185" i="20"/>
  <c r="BJ138" i="20"/>
  <c r="BI138" i="20"/>
  <c r="BB138" i="20"/>
  <c r="BD138" i="20" s="1"/>
  <c r="BH138" i="20" s="1"/>
  <c r="BK154" i="20"/>
  <c r="BK170" i="20"/>
  <c r="BK121" i="20"/>
  <c r="BI121" i="20"/>
  <c r="BB121" i="20"/>
  <c r="BD121" i="20" s="1"/>
  <c r="BH121" i="20" s="1"/>
  <c r="BK145" i="20"/>
  <c r="BI145" i="20"/>
  <c r="BB145" i="20"/>
  <c r="BD145" i="20" s="1"/>
  <c r="BH145" i="20" s="1"/>
  <c r="BJ158" i="20"/>
  <c r="BI124" i="20"/>
  <c r="BB124" i="20"/>
  <c r="BD124" i="20" s="1"/>
  <c r="BH124" i="20" s="1"/>
  <c r="BK124" i="20"/>
  <c r="BJ180" i="20"/>
  <c r="BK180" i="20"/>
  <c r="BI180" i="20"/>
  <c r="BB180" i="20"/>
  <c r="BD180" i="20" s="1"/>
  <c r="BH180" i="20" s="1"/>
  <c r="BK182" i="20"/>
  <c r="BI182" i="20"/>
  <c r="BB182" i="20"/>
  <c r="BD182" i="20" s="1"/>
  <c r="BH182" i="20" s="1"/>
  <c r="BK117" i="20"/>
  <c r="BJ117" i="20"/>
  <c r="BK115" i="20"/>
  <c r="BK199" i="20"/>
  <c r="AV54" i="20"/>
  <c r="BL54" i="20" s="1"/>
  <c r="BJ22" i="20"/>
  <c r="R17" i="20"/>
  <c r="T17" i="20" s="1"/>
  <c r="BI17" i="20" s="1"/>
  <c r="AV30" i="20"/>
  <c r="BL30" i="20" s="1"/>
  <c r="BJ40" i="20"/>
  <c r="AG50" i="20"/>
  <c r="AI50" i="20" s="1"/>
  <c r="BF50" i="20" s="1"/>
  <c r="AV50" i="20"/>
  <c r="BL50" i="20" s="1"/>
  <c r="AS74" i="20"/>
  <c r="R74" i="20"/>
  <c r="T74" i="20" s="1"/>
  <c r="BI74" i="20" s="1"/>
  <c r="AS90" i="20"/>
  <c r="R90" i="20"/>
  <c r="T90" i="20" s="1"/>
  <c r="BI90" i="20" s="1"/>
  <c r="BJ20" i="20"/>
  <c r="BK71" i="20"/>
  <c r="AG65" i="20"/>
  <c r="AI65" i="20" s="1"/>
  <c r="AV65" i="20"/>
  <c r="BL65" i="20" s="1"/>
  <c r="AS69" i="20"/>
  <c r="R69" i="20"/>
  <c r="T69" i="20" s="1"/>
  <c r="BI69" i="20" s="1"/>
  <c r="AV66" i="20"/>
  <c r="BL66" i="20" s="1"/>
  <c r="BB71" i="20"/>
  <c r="BD71" i="20" s="1"/>
  <c r="BH71" i="20" s="1"/>
  <c r="AV77" i="20"/>
  <c r="BL77" i="20" s="1"/>
  <c r="AK73" i="20"/>
  <c r="AN73" i="20" s="1"/>
  <c r="AV73" i="20"/>
  <c r="BL73" i="20" s="1"/>
  <c r="AV69" i="20"/>
  <c r="BL69" i="20" s="1"/>
  <c r="R18" i="20"/>
  <c r="T18" i="20" s="1"/>
  <c r="BI18" i="20" s="1"/>
  <c r="R14" i="20"/>
  <c r="T14" i="20" s="1"/>
  <c r="BI14" i="20" s="1"/>
  <c r="BB40" i="20"/>
  <c r="BD40" i="20" s="1"/>
  <c r="BH40" i="20" s="1"/>
  <c r="R106" i="20"/>
  <c r="T106" i="20" s="1"/>
  <c r="BI106" i="20" s="1"/>
  <c r="BJ9" i="20"/>
  <c r="AS109" i="20"/>
  <c r="R109" i="20"/>
  <c r="T109" i="20" s="1"/>
  <c r="BJ103" i="20"/>
  <c r="BJ87" i="20"/>
  <c r="AV26" i="20"/>
  <c r="BL26" i="20" s="1"/>
  <c r="AG26" i="20"/>
  <c r="BJ95" i="20"/>
  <c r="BK51" i="20"/>
  <c r="BJ75" i="20"/>
  <c r="BJ68" i="20"/>
  <c r="BJ51" i="20"/>
  <c r="BJ59" i="20"/>
  <c r="BJ84" i="20"/>
  <c r="AK33" i="20"/>
  <c r="AV33" i="20"/>
  <c r="BL33" i="20" s="1"/>
  <c r="AG25" i="20"/>
  <c r="AI25" i="20" s="1"/>
  <c r="AV25" i="20"/>
  <c r="BL25" i="20" s="1"/>
  <c r="BI40" i="20"/>
  <c r="BB84" i="20"/>
  <c r="BD84" i="20" s="1"/>
  <c r="BH84" i="20" s="1"/>
  <c r="BK9" i="20"/>
  <c r="BB55" i="20"/>
  <c r="BD55" i="20" s="1"/>
  <c r="BH55" i="20" s="1"/>
  <c r="BB103" i="20"/>
  <c r="BD103" i="20" s="1"/>
  <c r="BH103" i="20" s="1"/>
  <c r="BB95" i="20"/>
  <c r="BD95" i="20" s="1"/>
  <c r="BH95" i="20" s="1"/>
  <c r="BB68" i="20"/>
  <c r="BD68" i="20" s="1"/>
  <c r="BH68" i="20" s="1"/>
  <c r="BK68" i="20"/>
  <c r="BK103" i="20"/>
  <c r="BI95" i="20"/>
  <c r="BB87" i="20"/>
  <c r="BD87" i="20" s="1"/>
  <c r="BH87" i="20" s="1"/>
  <c r="BB75" i="20"/>
  <c r="BD75" i="20" s="1"/>
  <c r="BH75" i="20" s="1"/>
  <c r="AV14" i="20"/>
  <c r="BL14" i="20" s="1"/>
  <c r="BB67" i="20"/>
  <c r="BD67" i="20" s="1"/>
  <c r="BH67" i="20" s="1"/>
  <c r="BB59" i="20"/>
  <c r="BD59" i="20" s="1"/>
  <c r="BH59" i="20" s="1"/>
  <c r="R38" i="20"/>
  <c r="T38" i="20" s="1"/>
  <c r="BB51" i="20"/>
  <c r="BD51" i="20" s="1"/>
  <c r="BH51" i="20" s="1"/>
  <c r="AG14" i="20"/>
  <c r="AI14" i="20" s="1"/>
  <c r="BK59" i="20"/>
  <c r="BK67" i="20"/>
  <c r="BB9" i="20"/>
  <c r="BD9" i="20" s="1"/>
  <c r="BB22" i="20"/>
  <c r="BD22" i="20" s="1"/>
  <c r="BH22" i="20" s="1"/>
  <c r="BK24" i="20"/>
  <c r="BK11" i="20"/>
  <c r="BK10" i="20"/>
  <c r="BK12" i="20"/>
  <c r="BK20" i="20"/>
  <c r="N13" i="8"/>
  <c r="E43" i="1"/>
  <c r="Q3" i="17"/>
  <c r="K4" i="17"/>
  <c r="BF47" i="20" l="1"/>
  <c r="BE43" i="20"/>
  <c r="BE73" i="20"/>
  <c r="BJ35" i="20"/>
  <c r="BB35" i="20"/>
  <c r="BD35" i="20" s="1"/>
  <c r="BH35" i="20" s="1"/>
  <c r="BF35" i="20"/>
  <c r="BK35" i="20"/>
  <c r="BB32" i="20"/>
  <c r="BD32" i="20" s="1"/>
  <c r="BH32" i="20" s="1"/>
  <c r="BE23" i="20"/>
  <c r="BJ15" i="20"/>
  <c r="BF105" i="20"/>
  <c r="BJ105" i="20"/>
  <c r="BK47" i="20"/>
  <c r="BF37" i="20"/>
  <c r="BJ48" i="20"/>
  <c r="BJ43" i="20"/>
  <c r="BF43" i="20"/>
  <c r="BK48" i="20"/>
  <c r="BJ11" i="20"/>
  <c r="BK15" i="20"/>
  <c r="BJ24" i="20"/>
  <c r="BB24" i="20"/>
  <c r="BD24" i="20" s="1"/>
  <c r="BH24" i="20" s="1"/>
  <c r="BB11" i="20"/>
  <c r="BD11" i="20" s="1"/>
  <c r="BH11" i="20" s="1"/>
  <c r="BJ47" i="20"/>
  <c r="BB43" i="20"/>
  <c r="BD43" i="20" s="1"/>
  <c r="BH43" i="20" s="1"/>
  <c r="BB47" i="20"/>
  <c r="BD47" i="20" s="1"/>
  <c r="BH47" i="20" s="1"/>
  <c r="BE44" i="20"/>
  <c r="BF44" i="20"/>
  <c r="BF19" i="20"/>
  <c r="BB48" i="20"/>
  <c r="BD48" i="20" s="1"/>
  <c r="BH48" i="20" s="1"/>
  <c r="BF49" i="20"/>
  <c r="BB15" i="20"/>
  <c r="BD15" i="20" s="1"/>
  <c r="BH15" i="20" s="1"/>
  <c r="BE53" i="20"/>
  <c r="BE52" i="20"/>
  <c r="BF14" i="20"/>
  <c r="BF23" i="20"/>
  <c r="BI15" i="20"/>
  <c r="BE36" i="20"/>
  <c r="BF88" i="20"/>
  <c r="BF31" i="20"/>
  <c r="BK49" i="20"/>
  <c r="BK19" i="20"/>
  <c r="BJ16" i="20"/>
  <c r="BF89" i="20"/>
  <c r="BB16" i="20"/>
  <c r="BD16" i="20" s="1"/>
  <c r="BH16" i="20" s="1"/>
  <c r="BJ37" i="20"/>
  <c r="BF28" i="20"/>
  <c r="BE107" i="20"/>
  <c r="BB20" i="20"/>
  <c r="BD20" i="20" s="1"/>
  <c r="BH20" i="20" s="1"/>
  <c r="BK73" i="20"/>
  <c r="BB28" i="20"/>
  <c r="BD28" i="20" s="1"/>
  <c r="BH28" i="20" s="1"/>
  <c r="BF33" i="20"/>
  <c r="BK107" i="20"/>
  <c r="BK86" i="20"/>
  <c r="BE34" i="20"/>
  <c r="BF42" i="20"/>
  <c r="BJ28" i="20"/>
  <c r="BJ89" i="20"/>
  <c r="BJ77" i="20"/>
  <c r="BF18" i="20"/>
  <c r="BF77" i="20"/>
  <c r="BJ86" i="20"/>
  <c r="BE12" i="20"/>
  <c r="BJ78" i="20"/>
  <c r="BJ10" i="20"/>
  <c r="BB148" i="20"/>
  <c r="BD148" i="20" s="1"/>
  <c r="BH148" i="20" s="1"/>
  <c r="BF101" i="20"/>
  <c r="BK93" i="20"/>
  <c r="BJ93" i="20"/>
  <c r="BE105" i="20"/>
  <c r="BB104" i="20"/>
  <c r="BD104" i="20" s="1"/>
  <c r="BH104" i="20" s="1"/>
  <c r="BB86" i="20"/>
  <c r="BD86" i="20" s="1"/>
  <c r="BH86" i="20" s="1"/>
  <c r="BB62" i="20"/>
  <c r="BD62" i="20" s="1"/>
  <c r="BH62" i="20" s="1"/>
  <c r="BB19" i="20"/>
  <c r="BD19" i="20" s="1"/>
  <c r="BH19" i="20" s="1"/>
  <c r="BJ19" i="20"/>
  <c r="BB93" i="20"/>
  <c r="BD93" i="20" s="1"/>
  <c r="BH93" i="20" s="1"/>
  <c r="BF62" i="20"/>
  <c r="BJ62" i="20"/>
  <c r="BJ17" i="20"/>
  <c r="BJ52" i="20"/>
  <c r="BK98" i="20"/>
  <c r="BK148" i="20"/>
  <c r="BB101" i="20"/>
  <c r="BD101" i="20" s="1"/>
  <c r="BH101" i="20" s="1"/>
  <c r="BK44" i="20"/>
  <c r="BJ101" i="20"/>
  <c r="BE26" i="20"/>
  <c r="BJ107" i="20"/>
  <c r="BJ12" i="20"/>
  <c r="BJ36" i="20"/>
  <c r="BJ44" i="20"/>
  <c r="BE30" i="20"/>
  <c r="BB12" i="20"/>
  <c r="BD12" i="20" s="1"/>
  <c r="BH12" i="20" s="1"/>
  <c r="BB98" i="20"/>
  <c r="BD98" i="20" s="1"/>
  <c r="BH98" i="20" s="1"/>
  <c r="BK104" i="20"/>
  <c r="BB89" i="20"/>
  <c r="BD89" i="20" s="1"/>
  <c r="BH89" i="20" s="1"/>
  <c r="BJ23" i="20"/>
  <c r="BJ104" i="20"/>
  <c r="BJ98" i="20"/>
  <c r="BB105" i="20"/>
  <c r="BD105" i="20" s="1"/>
  <c r="BH105" i="20" s="1"/>
  <c r="BB36" i="20"/>
  <c r="BD36" i="20" s="1"/>
  <c r="BH36" i="20" s="1"/>
  <c r="BB52" i="20"/>
  <c r="BD52" i="20" s="1"/>
  <c r="BH52" i="20" s="1"/>
  <c r="BK78" i="20"/>
  <c r="BJ69" i="20"/>
  <c r="BE17" i="20"/>
  <c r="BB78" i="20"/>
  <c r="BD78" i="20" s="1"/>
  <c r="BH78" i="20" s="1"/>
  <c r="BJ49" i="20"/>
  <c r="BB44" i="20"/>
  <c r="BD44" i="20" s="1"/>
  <c r="BH44" i="20" s="1"/>
  <c r="BJ72" i="20"/>
  <c r="BB72" i="20"/>
  <c r="BD72" i="20" s="1"/>
  <c r="BH72" i="20" s="1"/>
  <c r="BK66" i="20"/>
  <c r="BB107" i="20"/>
  <c r="BD107" i="20" s="1"/>
  <c r="BH107" i="20" s="1"/>
  <c r="BJ88" i="20"/>
  <c r="BB23" i="20"/>
  <c r="BD23" i="20" s="1"/>
  <c r="BH23" i="20" s="1"/>
  <c r="BF65" i="20"/>
  <c r="BJ66" i="20"/>
  <c r="BF46" i="20"/>
  <c r="BF21" i="20"/>
  <c r="BK72" i="20"/>
  <c r="BB88" i="20"/>
  <c r="BD88" i="20" s="1"/>
  <c r="BH88" i="20" s="1"/>
  <c r="BE29" i="20"/>
  <c r="BF30" i="20"/>
  <c r="BF74" i="20"/>
  <c r="BF69" i="20"/>
  <c r="BF58" i="20"/>
  <c r="BF53" i="20"/>
  <c r="BK58" i="20"/>
  <c r="BJ13" i="20"/>
  <c r="BE54" i="20"/>
  <c r="BK38" i="20"/>
  <c r="BK74" i="20"/>
  <c r="BJ31" i="20"/>
  <c r="BB53" i="20"/>
  <c r="BD53" i="20" s="1"/>
  <c r="BH53" i="20" s="1"/>
  <c r="BJ30" i="20"/>
  <c r="BJ53" i="20"/>
  <c r="BJ92" i="20"/>
  <c r="BJ42" i="20"/>
  <c r="BE50" i="20"/>
  <c r="BB42" i="20"/>
  <c r="BD42" i="20" s="1"/>
  <c r="BH42" i="20" s="1"/>
  <c r="BJ58" i="20"/>
  <c r="BF41" i="20"/>
  <c r="BB49" i="20"/>
  <c r="BD49" i="20" s="1"/>
  <c r="BH49" i="20" s="1"/>
  <c r="BJ39" i="20"/>
  <c r="BB45" i="20"/>
  <c r="BD45" i="20" s="1"/>
  <c r="BH45" i="20" s="1"/>
  <c r="BJ41" i="20"/>
  <c r="BJ57" i="20"/>
  <c r="BE37" i="20"/>
  <c r="BK29" i="20"/>
  <c r="BB17" i="20"/>
  <c r="BD17" i="20" s="1"/>
  <c r="BH17" i="20" s="1"/>
  <c r="BB37" i="20"/>
  <c r="BD37" i="20" s="1"/>
  <c r="BH37" i="20" s="1"/>
  <c r="BB76" i="20"/>
  <c r="BD76" i="20" s="1"/>
  <c r="BH76" i="20" s="1"/>
  <c r="BB57" i="20"/>
  <c r="BD57" i="20" s="1"/>
  <c r="BH57" i="20" s="1"/>
  <c r="BJ46" i="20"/>
  <c r="BJ99" i="20"/>
  <c r="BJ45" i="20"/>
  <c r="BJ18" i="20"/>
  <c r="BJ27" i="20"/>
  <c r="BF27" i="20"/>
  <c r="BF25" i="20"/>
  <c r="BE38" i="20"/>
  <c r="BF39" i="20"/>
  <c r="BB30" i="20"/>
  <c r="BD30" i="20" s="1"/>
  <c r="BH30" i="20" s="1"/>
  <c r="BF45" i="20"/>
  <c r="BB31" i="20"/>
  <c r="BD31" i="20" s="1"/>
  <c r="BH31" i="20" s="1"/>
  <c r="BB60" i="20"/>
  <c r="BD60" i="20" s="1"/>
  <c r="BH60" i="20" s="1"/>
  <c r="BB99" i="20"/>
  <c r="BD99" i="20" s="1"/>
  <c r="BH99" i="20" s="1"/>
  <c r="BB92" i="20"/>
  <c r="BD92" i="20" s="1"/>
  <c r="BH92" i="20" s="1"/>
  <c r="BB91" i="20"/>
  <c r="BD91" i="20" s="1"/>
  <c r="BH91" i="20" s="1"/>
  <c r="BK27" i="20"/>
  <c r="BJ76" i="20"/>
  <c r="BJ91" i="20"/>
  <c r="BJ60" i="20"/>
  <c r="BK54" i="20"/>
  <c r="BB10" i="20"/>
  <c r="BD10" i="20" s="1"/>
  <c r="BH10" i="20" s="1"/>
  <c r="BF61" i="20"/>
  <c r="BJ61" i="20"/>
  <c r="BK61" i="20"/>
  <c r="BI10" i="20"/>
  <c r="BB13" i="20"/>
  <c r="BD13" i="20" s="1"/>
  <c r="BH13" i="20" s="1"/>
  <c r="BB100" i="20"/>
  <c r="BD100" i="20" s="1"/>
  <c r="BH100" i="20" s="1"/>
  <c r="BB41" i="20"/>
  <c r="BD41" i="20" s="1"/>
  <c r="BH41" i="20" s="1"/>
  <c r="BJ34" i="20"/>
  <c r="BK132" i="20"/>
  <c r="BJ74" i="20"/>
  <c r="BB46" i="20"/>
  <c r="BD46" i="20" s="1"/>
  <c r="BH46" i="20" s="1"/>
  <c r="BB97" i="20"/>
  <c r="BD97" i="20" s="1"/>
  <c r="BH97" i="20" s="1"/>
  <c r="BB39" i="20"/>
  <c r="BD39" i="20" s="1"/>
  <c r="BH39" i="20" s="1"/>
  <c r="BB58" i="20"/>
  <c r="BD58" i="20" s="1"/>
  <c r="BH58" i="20" s="1"/>
  <c r="BB82" i="20"/>
  <c r="BD82" i="20" s="1"/>
  <c r="BH82" i="20" s="1"/>
  <c r="H4" i="21"/>
  <c r="BB79" i="20"/>
  <c r="BD79" i="20" s="1"/>
  <c r="BH79" i="20" s="1"/>
  <c r="BB94" i="20"/>
  <c r="BD94" i="20" s="1"/>
  <c r="BH94" i="20" s="1"/>
  <c r="BB102" i="20"/>
  <c r="BD102" i="20" s="1"/>
  <c r="BH102" i="20" s="1"/>
  <c r="BB108" i="20"/>
  <c r="BD108" i="20" s="1"/>
  <c r="BH108" i="20" s="1"/>
  <c r="BK100" i="20"/>
  <c r="BK109" i="20"/>
  <c r="BJ97" i="20"/>
  <c r="BJ94" i="20"/>
  <c r="BJ82" i="20"/>
  <c r="BJ79" i="20"/>
  <c r="BJ108" i="20"/>
  <c r="BJ102" i="20"/>
  <c r="BJ106" i="20"/>
  <c r="BB81" i="20"/>
  <c r="BD81" i="20" s="1"/>
  <c r="BH81" i="20" s="1"/>
  <c r="BJ21" i="20"/>
  <c r="BB132" i="20"/>
  <c r="BD132" i="20" s="1"/>
  <c r="BH132" i="20" s="1"/>
  <c r="BF57" i="20"/>
  <c r="BJ90" i="20"/>
  <c r="BH9" i="20"/>
  <c r="B456" i="2" s="1"/>
  <c r="H2" i="20"/>
  <c r="BH209" i="20"/>
  <c r="B457" i="2" s="1"/>
  <c r="H4" i="20"/>
  <c r="BJ54" i="20"/>
  <c r="BK76" i="20"/>
  <c r="BB61" i="20"/>
  <c r="BD61" i="20" s="1"/>
  <c r="BH61" i="20" s="1"/>
  <c r="BK82" i="20"/>
  <c r="BK108" i="20"/>
  <c r="BK60" i="20"/>
  <c r="BK46" i="20"/>
  <c r="BJ148" i="20"/>
  <c r="BK81" i="20"/>
  <c r="BJ100" i="20"/>
  <c r="BK92" i="20"/>
  <c r="BK102" i="20"/>
  <c r="BK94" i="20"/>
  <c r="BK91" i="20"/>
  <c r="AI26" i="20"/>
  <c r="BK106" i="20"/>
  <c r="BK79" i="20"/>
  <c r="BJ132" i="20"/>
  <c r="BK97" i="20"/>
  <c r="BK99" i="20"/>
  <c r="AN33" i="20"/>
  <c r="BE33" i="20" s="1"/>
  <c r="BK23" i="21"/>
  <c r="BE23" i="21" s="1"/>
  <c r="BB23" i="21"/>
  <c r="BD23" i="21" s="1"/>
  <c r="BH23" i="21" s="1"/>
  <c r="BH19" i="21"/>
  <c r="H2" i="21"/>
  <c r="BH59" i="21"/>
  <c r="H3" i="21"/>
  <c r="BB54" i="20"/>
  <c r="BD54" i="20" s="1"/>
  <c r="BH54" i="20" s="1"/>
  <c r="BB34" i="20"/>
  <c r="BD34" i="20" s="1"/>
  <c r="BH34" i="20" s="1"/>
  <c r="BJ81" i="20"/>
  <c r="BB85" i="20"/>
  <c r="BD85" i="20" s="1"/>
  <c r="BH85" i="20" s="1"/>
  <c r="BB21" i="20"/>
  <c r="BD21" i="20" s="1"/>
  <c r="BH21" i="20" s="1"/>
  <c r="BB18" i="20"/>
  <c r="BD18" i="20" s="1"/>
  <c r="BH18" i="20" s="1"/>
  <c r="BB90" i="20"/>
  <c r="BD90" i="20" s="1"/>
  <c r="BH90" i="20" s="1"/>
  <c r="BK90" i="20"/>
  <c r="BB69" i="20"/>
  <c r="BD69" i="20" s="1"/>
  <c r="BH69" i="20" s="1"/>
  <c r="BI21" i="20"/>
  <c r="BJ38" i="20"/>
  <c r="BB65" i="20"/>
  <c r="BD65" i="20" s="1"/>
  <c r="BH65" i="20" s="1"/>
  <c r="BJ65" i="20"/>
  <c r="BK65" i="20"/>
  <c r="BK70" i="20"/>
  <c r="BK50" i="20"/>
  <c r="BJ50" i="20"/>
  <c r="BB74" i="20"/>
  <c r="BD74" i="20" s="1"/>
  <c r="BH74" i="20" s="1"/>
  <c r="BB70" i="20"/>
  <c r="BD70" i="20" s="1"/>
  <c r="BH70" i="20" s="1"/>
  <c r="BJ70" i="20"/>
  <c r="BJ109" i="20"/>
  <c r="BK85" i="20"/>
  <c r="BJ85" i="20"/>
  <c r="BB50" i="20"/>
  <c r="BD50" i="20" s="1"/>
  <c r="BH50" i="20" s="1"/>
  <c r="BB66" i="20"/>
  <c r="BD66" i="20" s="1"/>
  <c r="BH66" i="20" s="1"/>
  <c r="BB73" i="20"/>
  <c r="BD73" i="20" s="1"/>
  <c r="BH73" i="20" s="1"/>
  <c r="BJ73" i="20"/>
  <c r="BB77" i="20"/>
  <c r="BD77" i="20" s="1"/>
  <c r="BH77" i="20" s="1"/>
  <c r="BB106" i="20"/>
  <c r="BD106" i="20" s="1"/>
  <c r="BH106" i="20" s="1"/>
  <c r="BB29" i="20"/>
  <c r="BD29" i="20" s="1"/>
  <c r="BH29" i="20" s="1"/>
  <c r="BI109" i="20"/>
  <c r="BB109" i="20"/>
  <c r="BD109" i="20" s="1"/>
  <c r="BJ14" i="20"/>
  <c r="BK25" i="20"/>
  <c r="BJ25" i="20"/>
  <c r="BB25" i="20"/>
  <c r="BD25" i="20" s="1"/>
  <c r="BH25" i="20" s="1"/>
  <c r="BJ29" i="20"/>
  <c r="BB14" i="20"/>
  <c r="BD14" i="20" s="1"/>
  <c r="BH14" i="20" s="1"/>
  <c r="BB38" i="20"/>
  <c r="BD38" i="20" s="1"/>
  <c r="BH38" i="20" s="1"/>
  <c r="BI38" i="20"/>
  <c r="BK14" i="20"/>
  <c r="D607" i="17"/>
  <c r="D194" i="17"/>
  <c r="C598" i="17"/>
  <c r="D606" i="17"/>
  <c r="C174" i="17"/>
  <c r="D291" i="17"/>
  <c r="D60" i="17"/>
  <c r="C524" i="17"/>
  <c r="C420" i="17"/>
  <c r="C446" i="17"/>
  <c r="C228" i="17"/>
  <c r="D222" i="17"/>
  <c r="D562" i="17"/>
  <c r="C484" i="17"/>
  <c r="D418" i="17"/>
  <c r="D163" i="17"/>
  <c r="D472" i="17"/>
  <c r="D561" i="17"/>
  <c r="D381" i="17"/>
  <c r="C449" i="17"/>
  <c r="C123" i="17"/>
  <c r="C30" i="17"/>
  <c r="D594" i="17"/>
  <c r="C541" i="17"/>
  <c r="C516" i="17"/>
  <c r="C594" i="17"/>
  <c r="C546" i="17"/>
  <c r="C380" i="17"/>
  <c r="D227" i="17"/>
  <c r="D585" i="17"/>
  <c r="C535" i="17"/>
  <c r="C382" i="17"/>
  <c r="D215" i="17"/>
  <c r="D281" i="17"/>
  <c r="D509" i="17"/>
  <c r="D304" i="17"/>
  <c r="C513" i="17"/>
  <c r="D359" i="17"/>
  <c r="C251" i="17"/>
  <c r="D29" i="17"/>
  <c r="C77" i="17"/>
  <c r="D368" i="17"/>
  <c r="C610" i="17"/>
  <c r="D546" i="17"/>
  <c r="C570" i="17"/>
  <c r="D494" i="17"/>
  <c r="D430" i="17"/>
  <c r="C468" i="17"/>
  <c r="D559" i="17"/>
  <c r="D474" i="17"/>
  <c r="D575" i="17"/>
  <c r="C480" i="17"/>
  <c r="C404" i="17"/>
  <c r="C387" i="17"/>
  <c r="D259" i="17"/>
  <c r="D131" i="17"/>
  <c r="C571" i="17"/>
  <c r="D600" i="17"/>
  <c r="C590" i="17"/>
  <c r="D440" i="17"/>
  <c r="C414" i="17"/>
  <c r="C389" i="17"/>
  <c r="C343" i="17"/>
  <c r="D576" i="17"/>
  <c r="C345" i="17"/>
  <c r="C293" i="17"/>
  <c r="C471" i="17"/>
  <c r="D317" i="17"/>
  <c r="C164" i="17"/>
  <c r="C113" i="17"/>
  <c r="D92" i="17"/>
  <c r="D519" i="17"/>
  <c r="D391" i="17"/>
  <c r="D366" i="17"/>
  <c r="D314" i="17"/>
  <c r="C64" i="17"/>
  <c r="D158" i="17"/>
  <c r="D268" i="17"/>
  <c r="C13" i="17"/>
  <c r="C157" i="17"/>
  <c r="C240" i="17"/>
  <c r="D597" i="17"/>
  <c r="D598" i="17"/>
  <c r="D586" i="17"/>
  <c r="D554" i="17"/>
  <c r="D551" i="17"/>
  <c r="C586" i="17"/>
  <c r="C533" i="17"/>
  <c r="D502" i="17"/>
  <c r="D470" i="17"/>
  <c r="D438" i="17"/>
  <c r="C508" i="17"/>
  <c r="C476" i="17"/>
  <c r="C606" i="17"/>
  <c r="D591" i="17"/>
  <c r="C562" i="17"/>
  <c r="D490" i="17"/>
  <c r="D426" i="17"/>
  <c r="D566" i="17"/>
  <c r="D514" i="17"/>
  <c r="C496" i="17"/>
  <c r="C444" i="17"/>
  <c r="C412" i="17"/>
  <c r="C364" i="17"/>
  <c r="C403" i="17"/>
  <c r="C339" i="17"/>
  <c r="D275" i="17"/>
  <c r="D211" i="17"/>
  <c r="D147" i="17"/>
  <c r="C287" i="17"/>
  <c r="C587" i="17"/>
  <c r="D553" i="17"/>
  <c r="D534" i="17"/>
  <c r="D572" i="17"/>
  <c r="C534" i="17"/>
  <c r="C519" i="17"/>
  <c r="D456" i="17"/>
  <c r="C494" i="17"/>
  <c r="C430" i="17"/>
  <c r="C366" i="17"/>
  <c r="C405" i="17"/>
  <c r="D582" i="17"/>
  <c r="C407" i="17"/>
  <c r="D151" i="17"/>
  <c r="D538" i="17"/>
  <c r="D460" i="17"/>
  <c r="C409" i="17"/>
  <c r="D249" i="17"/>
  <c r="D121" i="17"/>
  <c r="C561" i="17"/>
  <c r="C503" i="17"/>
  <c r="D477" i="17"/>
  <c r="D349" i="17"/>
  <c r="D324" i="17"/>
  <c r="C196" i="17"/>
  <c r="D272" i="17"/>
  <c r="C145" i="17"/>
  <c r="C106" i="17"/>
  <c r="D76" i="17"/>
  <c r="C497" i="17"/>
  <c r="C433" i="17"/>
  <c r="D471" i="17"/>
  <c r="D407" i="17"/>
  <c r="D343" i="17"/>
  <c r="D382" i="17"/>
  <c r="C270" i="17"/>
  <c r="C142" i="17"/>
  <c r="C219" i="17"/>
  <c r="C32" i="17"/>
  <c r="D62" i="17"/>
  <c r="D190" i="17"/>
  <c r="D61" i="17"/>
  <c r="C91" i="17"/>
  <c r="D172" i="17"/>
  <c r="D79" i="17"/>
  <c r="C109" i="17"/>
  <c r="C125" i="17"/>
  <c r="C253" i="17"/>
  <c r="C176" i="17"/>
  <c r="D329" i="17"/>
  <c r="D544" i="17"/>
  <c r="C378" i="17"/>
  <c r="C208" i="17"/>
  <c r="D336" i="17"/>
  <c r="D361" i="17"/>
  <c r="D489" i="17"/>
  <c r="D573" i="17"/>
  <c r="D221" i="17"/>
  <c r="C506" i="17"/>
  <c r="D75" i="17"/>
  <c r="C585" i="17"/>
  <c r="C408" i="17"/>
  <c r="D599" i="17"/>
  <c r="D547" i="17"/>
  <c r="C442" i="17"/>
  <c r="C317" i="17"/>
  <c r="D189" i="17"/>
  <c r="C609" i="17"/>
  <c r="D527" i="17"/>
  <c r="C443" i="17"/>
  <c r="D473" i="17"/>
  <c r="D409" i="17"/>
  <c r="D345" i="17"/>
  <c r="D384" i="17"/>
  <c r="D320" i="17"/>
  <c r="C256" i="17"/>
  <c r="C192" i="17"/>
  <c r="C128" i="17"/>
  <c r="C269" i="17"/>
  <c r="C205" i="17"/>
  <c r="C141" i="17"/>
  <c r="C46" i="17"/>
  <c r="C110" i="17"/>
  <c r="C61" i="17"/>
  <c r="D95" i="17"/>
  <c r="D31" i="17"/>
  <c r="D156" i="17"/>
  <c r="D220" i="17"/>
  <c r="C107" i="17"/>
  <c r="C43" i="17"/>
  <c r="D77" i="17"/>
  <c r="D13" i="17"/>
  <c r="D174" i="17"/>
  <c r="D238" i="17"/>
  <c r="D78" i="17"/>
  <c r="D14" i="17"/>
  <c r="C48" i="17"/>
  <c r="C139" i="17"/>
  <c r="C203" i="17"/>
  <c r="C267" i="17"/>
  <c r="C126" i="17"/>
  <c r="C190" i="17"/>
  <c r="C254" i="17"/>
  <c r="D318" i="17"/>
  <c r="D374" i="17"/>
  <c r="D406" i="17"/>
  <c r="D335" i="17"/>
  <c r="D367" i="17"/>
  <c r="D399" i="17"/>
  <c r="D431" i="17"/>
  <c r="D463" i="17"/>
  <c r="D495" i="17"/>
  <c r="C425" i="17"/>
  <c r="C457" i="17"/>
  <c r="C489" i="17"/>
  <c r="D520" i="17"/>
  <c r="D84" i="17"/>
  <c r="D52" i="17"/>
  <c r="D20" i="17"/>
  <c r="C58" i="17"/>
  <c r="C129" i="17"/>
  <c r="C193" i="17"/>
  <c r="C257" i="17"/>
  <c r="C116" i="17"/>
  <c r="C180" i="17"/>
  <c r="C244" i="17"/>
  <c r="C308" i="17"/>
  <c r="D372" i="17"/>
  <c r="D333" i="17"/>
  <c r="D397" i="17"/>
  <c r="D461" i="17"/>
  <c r="C423" i="17"/>
  <c r="C487" i="17"/>
  <c r="C568" i="17"/>
  <c r="C545" i="17"/>
  <c r="D609" i="17"/>
  <c r="C309" i="17"/>
  <c r="D169" i="17"/>
  <c r="D233" i="17"/>
  <c r="D297" i="17"/>
  <c r="C377" i="17"/>
  <c r="C402" i="17"/>
  <c r="D428" i="17"/>
  <c r="C566" i="17"/>
  <c r="C608" i="17"/>
  <c r="C559" i="17"/>
  <c r="D610" i="17"/>
  <c r="D536" i="17"/>
  <c r="D446" i="17"/>
  <c r="D47" i="17"/>
  <c r="D603" i="17"/>
  <c r="D423" i="17"/>
  <c r="D510" i="17"/>
  <c r="C316" i="17"/>
  <c r="C318" i="17"/>
  <c r="C177" i="17"/>
  <c r="C59" i="17"/>
  <c r="D567" i="17"/>
  <c r="D602" i="17"/>
  <c r="C452" i="17"/>
  <c r="C303" i="17"/>
  <c r="C510" i="17"/>
  <c r="C523" i="17"/>
  <c r="D356" i="17"/>
  <c r="D487" i="17"/>
  <c r="D30" i="17"/>
  <c r="C221" i="17"/>
  <c r="D578" i="17"/>
  <c r="C525" i="17"/>
  <c r="C500" i="17"/>
  <c r="C537" i="17"/>
  <c r="D482" i="17"/>
  <c r="C348" i="17"/>
  <c r="D195" i="17"/>
  <c r="D533" i="17"/>
  <c r="D504" i="17"/>
  <c r="C350" i="17"/>
  <c r="C291" i="17"/>
  <c r="D217" i="17"/>
  <c r="D445" i="17"/>
  <c r="C241" i="17"/>
  <c r="C481" i="17"/>
  <c r="D327" i="17"/>
  <c r="C187" i="17"/>
  <c r="D93" i="17"/>
  <c r="C94" i="17"/>
  <c r="D393" i="17"/>
  <c r="C602" i="17"/>
  <c r="D583" i="17"/>
  <c r="C554" i="17"/>
  <c r="D486" i="17"/>
  <c r="D422" i="17"/>
  <c r="C460" i="17"/>
  <c r="C536" i="17"/>
  <c r="D458" i="17"/>
  <c r="C528" i="17"/>
  <c r="C464" i="17"/>
  <c r="C396" i="17"/>
  <c r="C371" i="17"/>
  <c r="D243" i="17"/>
  <c r="D115" i="17"/>
  <c r="C555" i="17"/>
  <c r="C604" i="17"/>
  <c r="C558" i="17"/>
  <c r="D424" i="17"/>
  <c r="C398" i="17"/>
  <c r="C373" i="17"/>
  <c r="D279" i="17"/>
  <c r="C538" i="17"/>
  <c r="D313" i="17"/>
  <c r="C605" i="17"/>
  <c r="C439" i="17"/>
  <c r="D388" i="17"/>
  <c r="C132" i="17"/>
  <c r="C42" i="17"/>
  <c r="D528" i="17"/>
  <c r="D503" i="17"/>
  <c r="D375" i="17"/>
  <c r="D334" i="17"/>
  <c r="D282" i="17"/>
  <c r="C96" i="17"/>
  <c r="D126" i="17"/>
  <c r="D236" i="17"/>
  <c r="C45" i="17"/>
  <c r="C189" i="17"/>
  <c r="C304" i="17"/>
  <c r="D157" i="17"/>
  <c r="C272" i="17"/>
  <c r="D425" i="17"/>
  <c r="C297" i="17"/>
  <c r="D577" i="17"/>
  <c r="C275" i="17"/>
  <c r="C548" i="17"/>
  <c r="C417" i="17"/>
  <c r="D125" i="17"/>
  <c r="C507" i="17"/>
  <c r="D441" i="17"/>
  <c r="D416" i="17"/>
  <c r="C288" i="17"/>
  <c r="C160" i="17"/>
  <c r="C237" i="17"/>
  <c r="C14" i="17"/>
  <c r="C93" i="17"/>
  <c r="D63" i="17"/>
  <c r="D188" i="17"/>
  <c r="C75" i="17"/>
  <c r="D45" i="17"/>
  <c r="D206" i="17"/>
  <c r="D46" i="17"/>
  <c r="C16" i="17"/>
  <c r="C235" i="17"/>
  <c r="C158" i="17"/>
  <c r="C286" i="17"/>
  <c r="D390" i="17"/>
  <c r="D351" i="17"/>
  <c r="D415" i="17"/>
  <c r="D479" i="17"/>
  <c r="C441" i="17"/>
  <c r="C505" i="17"/>
  <c r="D68" i="17"/>
  <c r="C90" i="17"/>
  <c r="C161" i="17"/>
  <c r="D288" i="17"/>
  <c r="C212" i="17"/>
  <c r="D340" i="17"/>
  <c r="D365" i="17"/>
  <c r="D493" i="17"/>
  <c r="C520" i="17"/>
  <c r="C577" i="17"/>
  <c r="D137" i="17"/>
  <c r="D265" i="17"/>
  <c r="C338" i="17"/>
  <c r="D492" i="17"/>
  <c r="D521" i="17"/>
  <c r="D119" i="17"/>
  <c r="D247" i="17"/>
  <c r="C375" i="17"/>
  <c r="C400" i="17"/>
  <c r="C544" i="17"/>
  <c r="C365" i="17"/>
  <c r="C397" i="17"/>
  <c r="C326" i="17"/>
  <c r="C358" i="17"/>
  <c r="C390" i="17"/>
  <c r="C422" i="17"/>
  <c r="C454" i="17"/>
  <c r="C486" i="17"/>
  <c r="C518" i="17"/>
  <c r="D448" i="17"/>
  <c r="D480" i="17"/>
  <c r="D512" i="17"/>
  <c r="C543" i="17"/>
  <c r="C526" i="17"/>
  <c r="D571" i="17"/>
  <c r="D564" i="17"/>
  <c r="C596" i="17"/>
  <c r="D608" i="17"/>
  <c r="C572" i="17"/>
  <c r="D541" i="17"/>
  <c r="C547" i="17"/>
  <c r="C579" i="17"/>
  <c r="D611" i="17"/>
  <c r="C279" i="17"/>
  <c r="C311" i="17"/>
  <c r="D139" i="17"/>
  <c r="D171" i="17"/>
  <c r="D203" i="17"/>
  <c r="D235" i="17"/>
  <c r="D267" i="17"/>
  <c r="D299" i="17"/>
  <c r="C331" i="17"/>
  <c r="C363" i="17"/>
  <c r="C395" i="17"/>
  <c r="C324" i="17"/>
  <c r="C356" i="17"/>
  <c r="C388" i="17"/>
  <c r="D127" i="17"/>
  <c r="D348" i="17"/>
  <c r="D342" i="17"/>
  <c r="C310" i="17"/>
  <c r="C278" i="17"/>
  <c r="C246" i="17"/>
  <c r="C214" i="17"/>
  <c r="C182" i="17"/>
  <c r="C150" i="17"/>
  <c r="C118" i="17"/>
  <c r="D290" i="17"/>
  <c r="C259" i="17"/>
  <c r="C227" i="17"/>
  <c r="C195" i="17"/>
  <c r="C163" i="17"/>
  <c r="C131" i="17"/>
  <c r="C24" i="17"/>
  <c r="C56" i="17"/>
  <c r="C88" i="17"/>
  <c r="D22" i="17"/>
  <c r="D54" i="17"/>
  <c r="D86" i="17"/>
  <c r="D262" i="17"/>
  <c r="D230" i="17"/>
  <c r="D198" i="17"/>
  <c r="D166" i="17"/>
  <c r="D134" i="17"/>
  <c r="D21" i="17"/>
  <c r="D53" i="17"/>
  <c r="D85" i="17"/>
  <c r="C19" i="17"/>
  <c r="C51" i="17"/>
  <c r="C83" i="17"/>
  <c r="D104" i="17"/>
  <c r="D244" i="17"/>
  <c r="D212" i="17"/>
  <c r="D180" i="17"/>
  <c r="D148" i="17"/>
  <c r="D116" i="17"/>
  <c r="D39" i="17"/>
  <c r="D71" i="17"/>
  <c r="D103" i="17"/>
  <c r="C37" i="17"/>
  <c r="C69" i="17"/>
  <c r="C101" i="17"/>
  <c r="C102" i="17"/>
  <c r="C70" i="17"/>
  <c r="C38" i="17"/>
  <c r="C117" i="17"/>
  <c r="C149" i="17"/>
  <c r="C181" i="17"/>
  <c r="C213" i="17"/>
  <c r="C245" i="17"/>
  <c r="D276" i="17"/>
  <c r="D308" i="17"/>
  <c r="C136" i="17"/>
  <c r="C168" i="17"/>
  <c r="C200" i="17"/>
  <c r="C232" i="17"/>
  <c r="C264" i="17"/>
  <c r="C296" i="17"/>
  <c r="D328" i="17"/>
  <c r="D360" i="17"/>
  <c r="D392" i="17"/>
  <c r="D321" i="17"/>
  <c r="D353" i="17"/>
  <c r="D385" i="17"/>
  <c r="D417" i="17"/>
  <c r="D449" i="17"/>
  <c r="D481" i="17"/>
  <c r="D513" i="17"/>
  <c r="C459" i="17"/>
  <c r="D522" i="17"/>
  <c r="D543" i="17"/>
  <c r="C581" i="17"/>
  <c r="C281" i="17"/>
  <c r="D141" i="17"/>
  <c r="D205" i="17"/>
  <c r="D269" i="17"/>
  <c r="C333" i="17"/>
  <c r="C346" i="17"/>
  <c r="C474" i="17"/>
  <c r="D500" i="17"/>
  <c r="D552" i="17"/>
  <c r="D529" i="17"/>
  <c r="C611" i="17"/>
  <c r="C319" i="17"/>
  <c r="C488" i="17"/>
  <c r="C482" i="17"/>
  <c r="D501" i="17"/>
  <c r="C151" i="17"/>
  <c r="D331" i="17"/>
  <c r="D159" i="17"/>
  <c r="D287" i="17"/>
  <c r="C415" i="17"/>
  <c r="C440" i="17"/>
  <c r="C504" i="17"/>
  <c r="D560" i="17"/>
  <c r="C450" i="17"/>
  <c r="D526" i="17"/>
  <c r="C156" i="17"/>
  <c r="C202" i="17"/>
  <c r="D507" i="17"/>
  <c r="D199" i="17"/>
  <c r="D508" i="17"/>
  <c r="D295" i="17"/>
  <c r="C337" i="17"/>
  <c r="C285" i="17"/>
  <c r="C463" i="17"/>
  <c r="D412" i="17"/>
  <c r="C233" i="17"/>
  <c r="D483" i="17"/>
  <c r="D278" i="17"/>
  <c r="D136" i="17"/>
  <c r="D302" i="17"/>
  <c r="D225" i="17"/>
  <c r="D427" i="17"/>
  <c r="D296" i="17"/>
  <c r="C82" i="17"/>
  <c r="C445" i="17"/>
  <c r="D394" i="17"/>
  <c r="C138" i="17"/>
  <c r="C68" i="17"/>
  <c r="D264" i="17"/>
  <c r="C613" i="17"/>
  <c r="D354" i="17"/>
  <c r="D256" i="17"/>
  <c r="C127" i="17"/>
  <c r="C23" i="17"/>
  <c r="D96" i="17"/>
  <c r="D515" i="17"/>
  <c r="D387" i="17"/>
  <c r="D362" i="17"/>
  <c r="C234" i="17"/>
  <c r="D310" i="17"/>
  <c r="C183" i="17"/>
  <c r="D34" i="17"/>
  <c r="D33" i="17"/>
  <c r="D200" i="17"/>
  <c r="C81" i="17"/>
  <c r="C447" i="17"/>
  <c r="D532" i="17"/>
  <c r="C226" i="17"/>
  <c r="D106" i="17"/>
  <c r="D128" i="17"/>
  <c r="C485" i="17"/>
  <c r="D226" i="17"/>
  <c r="D312" i="17"/>
  <c r="C514" i="17"/>
  <c r="D389" i="17"/>
  <c r="C100" i="17"/>
  <c r="D250" i="17"/>
  <c r="D122" i="17"/>
  <c r="C31" i="17"/>
  <c r="D232" i="17"/>
  <c r="D19" i="17"/>
  <c r="C49" i="17"/>
  <c r="C539" i="17"/>
  <c r="D531" i="17"/>
  <c r="C268" i="17"/>
  <c r="D40" i="17"/>
  <c r="D443" i="17"/>
  <c r="C290" i="17"/>
  <c r="C239" i="17"/>
  <c r="D42" i="17"/>
  <c r="D41" i="17"/>
  <c r="D192" i="17"/>
  <c r="C89" i="17"/>
  <c r="D581" i="17"/>
  <c r="D24" i="17"/>
  <c r="C306" i="17"/>
  <c r="D26" i="17"/>
  <c r="D208" i="17"/>
  <c r="D517" i="17"/>
  <c r="C210" i="17"/>
  <c r="D112" i="17"/>
  <c r="C223" i="17"/>
  <c r="C28" i="17"/>
  <c r="C453" i="17"/>
  <c r="C87" i="17"/>
  <c r="D161" i="17"/>
  <c r="D58" i="17"/>
  <c r="D56" i="17"/>
  <c r="C41" i="17"/>
  <c r="D130" i="17"/>
  <c r="D286" i="17"/>
  <c r="D491" i="17"/>
  <c r="D364" i="17"/>
  <c r="C307" i="17"/>
  <c r="D144" i="17"/>
  <c r="D89" i="17"/>
  <c r="D90" i="17"/>
  <c r="C191" i="17"/>
  <c r="C242" i="17"/>
  <c r="D395" i="17"/>
  <c r="D88" i="17"/>
  <c r="C172" i="17"/>
  <c r="C479" i="17"/>
  <c r="C361" i="17"/>
  <c r="C623" i="17"/>
  <c r="D91" i="17"/>
  <c r="D160" i="17"/>
  <c r="C103" i="17"/>
  <c r="D73" i="17"/>
  <c r="D178" i="17"/>
  <c r="D74" i="17"/>
  <c r="C44" i="17"/>
  <c r="C207" i="17"/>
  <c r="C130" i="17"/>
  <c r="C258" i="17"/>
  <c r="D386" i="17"/>
  <c r="D411" i="17"/>
  <c r="C437" i="17"/>
  <c r="D72" i="17"/>
  <c r="C153" i="17"/>
  <c r="C204" i="17"/>
  <c r="D357" i="17"/>
  <c r="C511" i="17"/>
  <c r="D129" i="17"/>
  <c r="C386" i="17"/>
  <c r="C384" i="17"/>
  <c r="C65" i="17"/>
  <c r="D99" i="17"/>
  <c r="D35" i="17"/>
  <c r="D152" i="17"/>
  <c r="D216" i="17"/>
  <c r="D100" i="17"/>
  <c r="C47" i="17"/>
  <c r="D81" i="17"/>
  <c r="D17" i="17"/>
  <c r="D170" i="17"/>
  <c r="D234" i="17"/>
  <c r="D82" i="17"/>
  <c r="D18" i="17"/>
  <c r="C52" i="17"/>
  <c r="C135" i="17"/>
  <c r="C199" i="17"/>
  <c r="C263" i="17"/>
  <c r="C122" i="17"/>
  <c r="C186" i="17"/>
  <c r="C250" i="17"/>
  <c r="C314" i="17"/>
  <c r="D378" i="17"/>
  <c r="D339" i="17"/>
  <c r="D403" i="17"/>
  <c r="D467" i="17"/>
  <c r="C429" i="17"/>
  <c r="C493" i="17"/>
  <c r="D80" i="17"/>
  <c r="D16" i="17"/>
  <c r="C137" i="17"/>
  <c r="C265" i="17"/>
  <c r="C188" i="17"/>
  <c r="D316" i="17"/>
  <c r="D341" i="17"/>
  <c r="D469" i="17"/>
  <c r="C495" i="17"/>
  <c r="C553" i="17"/>
  <c r="D113" i="17"/>
  <c r="D241" i="17"/>
  <c r="C322" i="17"/>
  <c r="C564" i="17"/>
  <c r="C320" i="17"/>
  <c r="C418" i="17"/>
  <c r="C522" i="17"/>
  <c r="C575" i="17"/>
  <c r="D263" i="17"/>
  <c r="C416" i="17"/>
  <c r="C578" i="17"/>
  <c r="C456" i="17"/>
  <c r="C392" i="17"/>
  <c r="C328" i="17"/>
  <c r="C367" i="17"/>
  <c r="D303" i="17"/>
  <c r="D239" i="17"/>
  <c r="D175" i="17"/>
  <c r="D111" i="17"/>
  <c r="C632" i="17"/>
  <c r="C551" i="17"/>
  <c r="C580" i="17"/>
  <c r="C600" i="17"/>
  <c r="D579" i="17"/>
  <c r="C550" i="17"/>
  <c r="D484" i="17"/>
  <c r="D420" i="17"/>
  <c r="C458" i="17"/>
  <c r="C394" i="17"/>
  <c r="C330" i="17"/>
  <c r="C369" i="17"/>
  <c r="C325" i="17"/>
  <c r="D293" i="17"/>
  <c r="D261" i="17"/>
  <c r="D229" i="17"/>
  <c r="D197" i="17"/>
  <c r="D165" i="17"/>
  <c r="D133" i="17"/>
  <c r="C305" i="17"/>
  <c r="C273" i="17"/>
  <c r="D605" i="17"/>
  <c r="C573" i="17"/>
  <c r="D589" i="17"/>
  <c r="D535" i="17"/>
  <c r="C560" i="17"/>
  <c r="C515" i="17"/>
  <c r="C483" i="17"/>
  <c r="C451" i="17"/>
  <c r="D231" i="17"/>
  <c r="D555" i="17"/>
  <c r="C368" i="17"/>
  <c r="D558" i="17"/>
  <c r="C370" i="17"/>
  <c r="C144" i="17"/>
  <c r="D506" i="17"/>
  <c r="C556" i="17"/>
  <c r="D153" i="17"/>
  <c r="D398" i="17"/>
  <c r="C419" i="17"/>
  <c r="D478" i="17"/>
  <c r="D442" i="17"/>
  <c r="C355" i="17"/>
  <c r="D588" i="17"/>
  <c r="C357" i="17"/>
  <c r="C593" i="17"/>
  <c r="C74" i="17"/>
  <c r="C302" i="17"/>
  <c r="D204" i="17"/>
  <c r="D285" i="17"/>
  <c r="C540" i="17"/>
  <c r="D462" i="17"/>
  <c r="D590" i="17"/>
  <c r="C512" i="17"/>
  <c r="C436" i="17"/>
  <c r="C323" i="17"/>
  <c r="C271" i="17"/>
  <c r="D556" i="17"/>
  <c r="C478" i="17"/>
  <c r="D466" i="17"/>
  <c r="C498" i="17"/>
  <c r="D565" i="17"/>
  <c r="C292" i="17"/>
  <c r="D28" i="17"/>
  <c r="D455" i="17"/>
  <c r="C238" i="17"/>
  <c r="D140" i="17"/>
  <c r="C531" i="17"/>
  <c r="C532" i="17"/>
  <c r="D454" i="17"/>
  <c r="D574" i="17"/>
  <c r="A622" i="17"/>
  <c r="C428" i="17"/>
  <c r="D307" i="17"/>
  <c r="C599" i="17"/>
  <c r="D587" i="17"/>
  <c r="C462" i="17"/>
  <c r="C432" i="17"/>
  <c r="C434" i="17"/>
  <c r="D523" i="17"/>
  <c r="C260" i="17"/>
  <c r="D44" i="17"/>
  <c r="D439" i="17"/>
  <c r="C206" i="17"/>
  <c r="D254" i="17"/>
  <c r="D15" i="17"/>
  <c r="C112" i="17"/>
  <c r="C383" i="17"/>
  <c r="C475" i="17"/>
  <c r="D355" i="17"/>
  <c r="D468" i="17"/>
  <c r="C565" i="17"/>
  <c r="D377" i="17"/>
  <c r="C224" i="17"/>
  <c r="C173" i="17"/>
  <c r="C29" i="17"/>
  <c r="D252" i="17"/>
  <c r="D142" i="17"/>
  <c r="C80" i="17"/>
  <c r="D298" i="17"/>
  <c r="D350" i="17"/>
  <c r="D383" i="17"/>
  <c r="D511" i="17"/>
  <c r="D540" i="17"/>
  <c r="C26" i="17"/>
  <c r="C148" i="17"/>
  <c r="D404" i="17"/>
  <c r="C455" i="17"/>
  <c r="C277" i="17"/>
  <c r="C329" i="17"/>
  <c r="D595" i="17"/>
  <c r="D183" i="17"/>
  <c r="C336" i="17"/>
  <c r="C349" i="17"/>
  <c r="C413" i="17"/>
  <c r="C374" i="17"/>
  <c r="C438" i="17"/>
  <c r="C502" i="17"/>
  <c r="D464" i="17"/>
  <c r="C527" i="17"/>
  <c r="C542" i="17"/>
  <c r="D580" i="17"/>
  <c r="D542" i="17"/>
  <c r="D569" i="17"/>
  <c r="C595" i="17"/>
  <c r="C295" i="17"/>
  <c r="D155" i="17"/>
  <c r="D219" i="17"/>
  <c r="D283" i="17"/>
  <c r="C347" i="17"/>
  <c r="C411" i="17"/>
  <c r="C372" i="17"/>
  <c r="D550" i="17"/>
  <c r="D326" i="17"/>
  <c r="C262" i="17"/>
  <c r="C198" i="17"/>
  <c r="C134" i="17"/>
  <c r="D274" i="17"/>
  <c r="C211" i="17"/>
  <c r="C147" i="17"/>
  <c r="C40" i="17"/>
  <c r="C104" i="17"/>
  <c r="D70" i="17"/>
  <c r="D246" i="17"/>
  <c r="D182" i="17"/>
  <c r="D118" i="17"/>
  <c r="D69" i="17"/>
  <c r="C35" i="17"/>
  <c r="C99" i="17"/>
  <c r="D228" i="17"/>
  <c r="D164" i="17"/>
  <c r="D23" i="17"/>
  <c r="D87" i="17"/>
  <c r="C53" i="17"/>
  <c r="C626" i="17"/>
  <c r="C54" i="17"/>
  <c r="C133" i="17"/>
  <c r="C197" i="17"/>
  <c r="C261" i="17"/>
  <c r="C120" i="17"/>
  <c r="C184" i="17"/>
  <c r="C248" i="17"/>
  <c r="C312" i="17"/>
  <c r="D376" i="17"/>
  <c r="D337" i="17"/>
  <c r="D401" i="17"/>
  <c r="D465" i="17"/>
  <c r="C427" i="17"/>
  <c r="C576" i="17"/>
  <c r="D613" i="17"/>
  <c r="D173" i="17"/>
  <c r="D301" i="17"/>
  <c r="C410" i="17"/>
  <c r="C582" i="17"/>
  <c r="C567" i="17"/>
  <c r="C344" i="17"/>
  <c r="D273" i="17"/>
  <c r="D146" i="17"/>
  <c r="D223" i="17"/>
  <c r="C376" i="17"/>
  <c r="C327" i="17"/>
  <c r="D145" i="17"/>
  <c r="C509" i="17"/>
  <c r="D363" i="17"/>
  <c r="C354" i="17"/>
  <c r="D209" i="17"/>
  <c r="D437" i="17"/>
  <c r="D32" i="17"/>
  <c r="D98" i="17"/>
  <c r="C25" i="17"/>
  <c r="C220" i="17"/>
  <c r="D64" i="17"/>
  <c r="C266" i="17"/>
  <c r="D154" i="17"/>
  <c r="C34" i="17"/>
  <c r="C249" i="17"/>
  <c r="C185" i="17"/>
  <c r="D451" i="17"/>
  <c r="C298" i="17"/>
  <c r="C247" i="17"/>
  <c r="D218" i="17"/>
  <c r="D51" i="17"/>
  <c r="C140" i="17"/>
  <c r="C175" i="17"/>
  <c r="D453" i="17"/>
  <c r="D43" i="17"/>
  <c r="D57" i="17"/>
  <c r="D66" i="17"/>
  <c r="D65" i="17"/>
  <c r="D168" i="17"/>
  <c r="D626" i="17"/>
  <c r="D421" i="17"/>
  <c r="C469" i="17"/>
  <c r="C162" i="17"/>
  <c r="D210" i="17"/>
  <c r="D59" i="17"/>
  <c r="C300" i="17"/>
  <c r="C255" i="17"/>
  <c r="C73" i="17"/>
  <c r="D258" i="17"/>
  <c r="C105" i="17"/>
  <c r="C146" i="17"/>
  <c r="D176" i="17"/>
  <c r="C552" i="17"/>
  <c r="C92" i="17"/>
  <c r="C66" i="17"/>
  <c r="D107" i="17"/>
  <c r="D162" i="17"/>
  <c r="C114" i="17"/>
  <c r="C421" i="17"/>
  <c r="D325" i="17"/>
  <c r="C359" i="17"/>
  <c r="D27" i="17"/>
  <c r="C39" i="17"/>
  <c r="D242" i="17"/>
  <c r="C143" i="17"/>
  <c r="C194" i="17"/>
  <c r="D347" i="17"/>
  <c r="C501" i="17"/>
  <c r="D280" i="17"/>
  <c r="D485" i="17"/>
  <c r="D257" i="17"/>
  <c r="C97" i="17"/>
  <c r="D67" i="17"/>
  <c r="D184" i="17"/>
  <c r="C79" i="17"/>
  <c r="D49" i="17"/>
  <c r="D202" i="17"/>
  <c r="D50" i="17"/>
  <c r="C20" i="17"/>
  <c r="C231" i="17"/>
  <c r="C154" i="17"/>
  <c r="C282" i="17"/>
  <c r="D410" i="17"/>
  <c r="D435" i="17"/>
  <c r="C461" i="17"/>
  <c r="D48" i="17"/>
  <c r="C201" i="17"/>
  <c r="C252" i="17"/>
  <c r="D405" i="17"/>
  <c r="C584" i="17"/>
  <c r="D177" i="17"/>
  <c r="D476" i="17"/>
  <c r="C393" i="17"/>
  <c r="D604" i="17"/>
  <c r="C391" i="17"/>
  <c r="D434" i="17"/>
  <c r="C360" i="17"/>
  <c r="C335" i="17"/>
  <c r="D207" i="17"/>
  <c r="C283" i="17"/>
  <c r="D545" i="17"/>
  <c r="D568" i="17"/>
  <c r="D516" i="17"/>
  <c r="C490" i="17"/>
  <c r="C362" i="17"/>
  <c r="C341" i="17"/>
  <c r="D277" i="17"/>
  <c r="D213" i="17"/>
  <c r="D149" i="17"/>
  <c r="C289" i="17"/>
  <c r="C589" i="17"/>
  <c r="D557" i="17"/>
  <c r="D530" i="17"/>
  <c r="C467" i="17"/>
  <c r="D94" i="17"/>
  <c r="D284" i="17"/>
  <c r="D570" i="17"/>
  <c r="D518" i="17"/>
  <c r="C492" i="17"/>
  <c r="C521" i="17"/>
  <c r="D450" i="17"/>
  <c r="C332" i="17"/>
  <c r="D179" i="17"/>
  <c r="C588" i="17"/>
  <c r="D488" i="17"/>
  <c r="C334" i="17"/>
  <c r="C591" i="17"/>
  <c r="D185" i="17"/>
  <c r="D413" i="17"/>
  <c r="C209" i="17"/>
  <c r="C465" i="17"/>
  <c r="D414" i="17"/>
  <c r="C155" i="17"/>
  <c r="C27" i="17"/>
  <c r="C62" i="17"/>
  <c r="D457" i="17"/>
  <c r="D400" i="17"/>
  <c r="C353" i="17"/>
  <c r="D255" i="17"/>
  <c r="D253" i="17"/>
  <c r="D505" i="17"/>
  <c r="D352" i="17"/>
  <c r="D300" i="17"/>
  <c r="C78" i="17"/>
  <c r="D124" i="17"/>
  <c r="D109" i="17"/>
  <c r="D110" i="17"/>
  <c r="C171" i="17"/>
  <c r="C222" i="17"/>
  <c r="D319" i="17"/>
  <c r="D447" i="17"/>
  <c r="C473" i="17"/>
  <c r="D36" i="17"/>
  <c r="C225" i="17"/>
  <c r="C276" i="17"/>
  <c r="D429" i="17"/>
  <c r="D539" i="17"/>
  <c r="D201" i="17"/>
  <c r="C466" i="17"/>
  <c r="C603" i="17"/>
  <c r="D311" i="17"/>
  <c r="C472" i="17"/>
  <c r="C381" i="17"/>
  <c r="C342" i="17"/>
  <c r="C406" i="17"/>
  <c r="C470" i="17"/>
  <c r="D432" i="17"/>
  <c r="D496" i="17"/>
  <c r="C574" i="17"/>
  <c r="D548" i="17"/>
  <c r="C612" i="17"/>
  <c r="D525" i="17"/>
  <c r="C563" i="17"/>
  <c r="C607" i="17"/>
  <c r="D123" i="17"/>
  <c r="D187" i="17"/>
  <c r="D251" i="17"/>
  <c r="C315" i="17"/>
  <c r="C379" i="17"/>
  <c r="C340" i="17"/>
  <c r="D584" i="17"/>
  <c r="D358" i="17"/>
  <c r="C294" i="17"/>
  <c r="C230" i="17"/>
  <c r="C166" i="17"/>
  <c r="D306" i="17"/>
  <c r="C243" i="17"/>
  <c r="C179" i="17"/>
  <c r="C115" i="17"/>
  <c r="C72" i="17"/>
  <c r="D38" i="17"/>
  <c r="D102" i="17"/>
  <c r="D214" i="17"/>
  <c r="D150" i="17"/>
  <c r="D37" i="17"/>
  <c r="D101" i="17"/>
  <c r="C67" i="17"/>
  <c r="D260" i="17"/>
  <c r="D196" i="17"/>
  <c r="D132" i="17"/>
  <c r="D55" i="17"/>
  <c r="C21" i="17"/>
  <c r="C85" i="17"/>
  <c r="C86" i="17"/>
  <c r="C22" i="17"/>
  <c r="C165" i="17"/>
  <c r="C229" i="17"/>
  <c r="D292" i="17"/>
  <c r="C152" i="17"/>
  <c r="C216" i="17"/>
  <c r="C280" i="17"/>
  <c r="D344" i="17"/>
  <c r="D408" i="17"/>
  <c r="D369" i="17"/>
  <c r="D433" i="17"/>
  <c r="D497" i="17"/>
  <c r="C491" i="17"/>
  <c r="C549" i="17"/>
  <c r="C313" i="17"/>
  <c r="D237" i="17"/>
  <c r="C385" i="17"/>
  <c r="D436" i="17"/>
  <c r="D596" i="17"/>
  <c r="D191" i="17"/>
  <c r="C352" i="17"/>
  <c r="C18" i="17"/>
  <c r="C299" i="17"/>
  <c r="C351" i="17"/>
  <c r="D498" i="17"/>
  <c r="C448" i="17"/>
  <c r="D373" i="17"/>
  <c r="D97" i="17"/>
  <c r="D537" i="17"/>
  <c r="D563" i="17"/>
  <c r="D549" i="17"/>
  <c r="C284" i="17"/>
  <c r="D330" i="17"/>
  <c r="D396" i="17"/>
  <c r="C55" i="17"/>
  <c r="C169" i="17"/>
  <c r="D419" i="17"/>
  <c r="C215" i="17"/>
  <c r="C17" i="17"/>
  <c r="C76" i="17"/>
  <c r="D289" i="17"/>
  <c r="C477" i="17"/>
  <c r="D323" i="17"/>
  <c r="C170" i="17"/>
  <c r="C119" i="17"/>
  <c r="C63" i="17"/>
  <c r="C321" i="17"/>
  <c r="D379" i="17"/>
  <c r="D105" i="17"/>
  <c r="C178" i="17"/>
  <c r="C159" i="17"/>
  <c r="C36" i="17"/>
  <c r="D186" i="17"/>
  <c r="C95" i="17"/>
  <c r="D83" i="17"/>
  <c r="D193" i="17"/>
  <c r="C217" i="17"/>
  <c r="D315" i="17"/>
  <c r="C111" i="17"/>
  <c r="C71" i="17"/>
  <c r="D592" i="17"/>
  <c r="D459" i="17"/>
  <c r="D25" i="17"/>
  <c r="C517" i="17"/>
  <c r="C236" i="17"/>
  <c r="C529" i="17"/>
  <c r="D402" i="17"/>
  <c r="C274" i="17"/>
  <c r="D240" i="17"/>
  <c r="D338" i="17"/>
  <c r="D601" i="17"/>
  <c r="D108" i="17"/>
  <c r="C60" i="17"/>
  <c r="D370" i="17"/>
  <c r="C121" i="17"/>
  <c r="C301" i="17"/>
  <c r="C57" i="17"/>
  <c r="D224" i="17"/>
  <c r="D114" i="17"/>
  <c r="C108" i="17"/>
  <c r="D270" i="17"/>
  <c r="D322" i="17"/>
  <c r="D475" i="17"/>
  <c r="C98" i="17"/>
  <c r="D332" i="17"/>
  <c r="C569" i="17"/>
  <c r="D593" i="17"/>
  <c r="C33" i="17"/>
  <c r="D120" i="17"/>
  <c r="D248" i="17"/>
  <c r="C15" i="17"/>
  <c r="D138" i="17"/>
  <c r="D266" i="17"/>
  <c r="C84" i="17"/>
  <c r="C167" i="17"/>
  <c r="D294" i="17"/>
  <c r="C218" i="17"/>
  <c r="D346" i="17"/>
  <c r="D371" i="17"/>
  <c r="D499" i="17"/>
  <c r="D524" i="17"/>
  <c r="C50" i="17"/>
  <c r="C124" i="17"/>
  <c r="D380" i="17"/>
  <c r="C431" i="17"/>
  <c r="C597" i="17"/>
  <c r="D305" i="17"/>
  <c r="D167" i="17"/>
  <c r="D444" i="17"/>
  <c r="D135" i="17"/>
  <c r="D623" i="17"/>
  <c r="C424" i="17"/>
  <c r="C399" i="17"/>
  <c r="D271" i="17"/>
  <c r="D143" i="17"/>
  <c r="C583" i="17"/>
  <c r="D612" i="17"/>
  <c r="C530" i="17"/>
  <c r="D452" i="17"/>
  <c r="C426" i="17"/>
  <c r="C401" i="17"/>
  <c r="D309" i="17"/>
  <c r="D245" i="17"/>
  <c r="D181" i="17"/>
  <c r="D117" i="17"/>
  <c r="C601" i="17"/>
  <c r="C557" i="17"/>
  <c r="C592" i="17"/>
  <c r="C499" i="17"/>
  <c r="C435" i="17"/>
  <c r="O13" i="8"/>
  <c r="B462" i="2" s="1"/>
  <c r="BJ26" i="20" l="1"/>
  <c r="BF26" i="20"/>
  <c r="BB26" i="20"/>
  <c r="BD26" i="20" s="1"/>
  <c r="BH26" i="20" s="1"/>
  <c r="BK26" i="20"/>
  <c r="BH109" i="20"/>
  <c r="B458" i="2" s="1"/>
  <c r="H3" i="20"/>
  <c r="BB33" i="20"/>
  <c r="BD33" i="20" s="1"/>
  <c r="BH33" i="20" s="1"/>
  <c r="BJ33" i="20"/>
  <c r="G622" i="17"/>
  <c r="H622" i="17"/>
  <c r="F622" i="17"/>
  <c r="E622" i="17"/>
  <c r="D622" i="17"/>
  <c r="C622" i="17"/>
  <c r="G4" i="8"/>
  <c r="O14" i="8" s="1"/>
  <c r="E31" i="1" s="1"/>
  <c r="B140" i="2" l="1"/>
  <c r="O6" i="8"/>
  <c r="B463" i="2" s="1"/>
  <c r="B461" i="2" l="1"/>
  <c r="A461" i="2" l="1"/>
  <c r="D71" i="16"/>
  <c r="E70" i="1" l="1"/>
  <c r="D65" i="16"/>
  <c r="C637" i="17" l="1"/>
  <c r="A628" i="17"/>
  <c r="O622" i="17"/>
  <c r="P623" i="17"/>
  <c r="P622" i="17"/>
  <c r="AB622" i="17" s="1"/>
  <c r="O626" i="17"/>
  <c r="AA626" i="17" s="1"/>
  <c r="O623" i="17"/>
  <c r="AA623" i="17" s="1"/>
  <c r="P626" i="17"/>
  <c r="AB626" i="17" s="1"/>
  <c r="N4" i="17"/>
  <c r="P573" i="17" s="1"/>
  <c r="AB573" i="17" s="1"/>
  <c r="B78" i="1"/>
  <c r="N7" i="8"/>
  <c r="O7" i="8" s="1"/>
  <c r="G628" i="17" l="1"/>
  <c r="H628" i="17"/>
  <c r="AA622" i="17"/>
  <c r="E632" i="17" s="1"/>
  <c r="AB623" i="17"/>
  <c r="D628" i="17"/>
  <c r="F628" i="17"/>
  <c r="P628" i="17"/>
  <c r="C628" i="17"/>
  <c r="E628" i="17"/>
  <c r="O628" i="17"/>
  <c r="E636" i="17"/>
  <c r="N27" i="8"/>
  <c r="O27" i="8"/>
  <c r="C78" i="1" s="1"/>
  <c r="O74" i="17"/>
  <c r="AA74" i="17" s="1"/>
  <c r="O121" i="17"/>
  <c r="AA121" i="17" s="1"/>
  <c r="O106" i="17"/>
  <c r="AA106" i="17" s="1"/>
  <c r="O90" i="17"/>
  <c r="AA90" i="17" s="1"/>
  <c r="O17" i="17"/>
  <c r="AA17" i="17" s="1"/>
  <c r="O81" i="17"/>
  <c r="AA81" i="17" s="1"/>
  <c r="O101" i="17"/>
  <c r="AA101" i="17" s="1"/>
  <c r="O58" i="17"/>
  <c r="AA58" i="17" s="1"/>
  <c r="O42" i="17"/>
  <c r="AA42" i="17" s="1"/>
  <c r="O26" i="17"/>
  <c r="AA26" i="17" s="1"/>
  <c r="O49" i="17"/>
  <c r="AA49" i="17" s="1"/>
  <c r="O69" i="17"/>
  <c r="AA69" i="17" s="1"/>
  <c r="O236" i="17"/>
  <c r="AA236" i="17" s="1"/>
  <c r="O300" i="17"/>
  <c r="AA300" i="17" s="1"/>
  <c r="O217" i="17"/>
  <c r="AA217" i="17" s="1"/>
  <c r="O281" i="17"/>
  <c r="AA281" i="17" s="1"/>
  <c r="O140" i="17"/>
  <c r="AA140" i="17" s="1"/>
  <c r="O70" i="17"/>
  <c r="AA70" i="17" s="1"/>
  <c r="O41" i="17"/>
  <c r="AA41" i="17" s="1"/>
  <c r="O105" i="17"/>
  <c r="AA105" i="17" s="1"/>
  <c r="O45" i="17"/>
  <c r="AA45" i="17" s="1"/>
  <c r="O77" i="17"/>
  <c r="AA77" i="17" s="1"/>
  <c r="O173" i="17"/>
  <c r="AA173" i="17" s="1"/>
  <c r="O237" i="17"/>
  <c r="AA237" i="17" s="1"/>
  <c r="O301" i="17"/>
  <c r="AA301" i="17" s="1"/>
  <c r="O160" i="17"/>
  <c r="AA160" i="17" s="1"/>
  <c r="O338" i="17"/>
  <c r="AA338" i="17" s="1"/>
  <c r="O370" i="17"/>
  <c r="AA370" i="17" s="1"/>
  <c r="O402" i="17"/>
  <c r="AA402" i="17" s="1"/>
  <c r="O172" i="17"/>
  <c r="AA172" i="17" s="1"/>
  <c r="O204" i="17"/>
  <c r="AA204" i="17" s="1"/>
  <c r="O153" i="17"/>
  <c r="AA153" i="17" s="1"/>
  <c r="O38" i="17"/>
  <c r="AA38" i="17" s="1"/>
  <c r="O73" i="17"/>
  <c r="AA73" i="17" s="1"/>
  <c r="O141" i="17"/>
  <c r="AA141" i="17" s="1"/>
  <c r="O269" i="17"/>
  <c r="AA269" i="17" s="1"/>
  <c r="O319" i="17"/>
  <c r="AA319" i="17" s="1"/>
  <c r="O383" i="17"/>
  <c r="AA383" i="17" s="1"/>
  <c r="O180" i="17"/>
  <c r="AA180" i="17" s="1"/>
  <c r="O244" i="17"/>
  <c r="AA244" i="17" s="1"/>
  <c r="O308" i="17"/>
  <c r="AA308" i="17" s="1"/>
  <c r="O339" i="17"/>
  <c r="AA339" i="17" s="1"/>
  <c r="O403" i="17"/>
  <c r="AA403" i="17" s="1"/>
  <c r="O366" i="17"/>
  <c r="AA366" i="17" s="1"/>
  <c r="O169" i="17"/>
  <c r="AA169" i="17" s="1"/>
  <c r="O233" i="17"/>
  <c r="AA233" i="17" s="1"/>
  <c r="O132" i="17"/>
  <c r="AA132" i="17" s="1"/>
  <c r="O62" i="17"/>
  <c r="AA62" i="17" s="1"/>
  <c r="O232" i="17"/>
  <c r="AA232" i="17" s="1"/>
  <c r="O296" i="17"/>
  <c r="AA296" i="17" s="1"/>
  <c r="O322" i="17"/>
  <c r="AA322" i="17" s="1"/>
  <c r="O386" i="17"/>
  <c r="AA386" i="17" s="1"/>
  <c r="O438" i="17"/>
  <c r="AA438" i="17" s="1"/>
  <c r="O65" i="17"/>
  <c r="AA65" i="17" s="1"/>
  <c r="O85" i="17"/>
  <c r="AA85" i="17" s="1"/>
  <c r="O117" i="17"/>
  <c r="AA117" i="17" s="1"/>
  <c r="O149" i="17"/>
  <c r="AA149" i="17" s="1"/>
  <c r="O181" i="17"/>
  <c r="AA181" i="17" s="1"/>
  <c r="O213" i="17"/>
  <c r="AA213" i="17" s="1"/>
  <c r="O245" i="17"/>
  <c r="AA245" i="17" s="1"/>
  <c r="O277" i="17"/>
  <c r="AA277" i="17" s="1"/>
  <c r="O309" i="17"/>
  <c r="AA309" i="17" s="1"/>
  <c r="O136" i="17"/>
  <c r="AA136" i="17" s="1"/>
  <c r="O168" i="17"/>
  <c r="AA168" i="17" s="1"/>
  <c r="O184" i="17"/>
  <c r="AA184" i="17" s="1"/>
  <c r="O248" i="17"/>
  <c r="AA248" i="17" s="1"/>
  <c r="O312" i="17"/>
  <c r="AA312" i="17" s="1"/>
  <c r="O327" i="17"/>
  <c r="AA327" i="17" s="1"/>
  <c r="O359" i="17"/>
  <c r="AA359" i="17" s="1"/>
  <c r="O391" i="17"/>
  <c r="AA391" i="17" s="1"/>
  <c r="O407" i="17"/>
  <c r="AA407" i="17" s="1"/>
  <c r="O378" i="17"/>
  <c r="AA378" i="17" s="1"/>
  <c r="O188" i="17"/>
  <c r="AA188" i="17" s="1"/>
  <c r="O252" i="17"/>
  <c r="AA252" i="17" s="1"/>
  <c r="O331" i="17"/>
  <c r="AA331" i="17" s="1"/>
  <c r="O363" i="17"/>
  <c r="AA363" i="17" s="1"/>
  <c r="O395" i="17"/>
  <c r="AA395" i="17" s="1"/>
  <c r="O411" i="17"/>
  <c r="AA411" i="17" s="1"/>
  <c r="O326" i="17"/>
  <c r="AA326" i="17" s="1"/>
  <c r="O358" i="17"/>
  <c r="AA358" i="17" s="1"/>
  <c r="O390" i="17"/>
  <c r="AA390" i="17" s="1"/>
  <c r="O454" i="17"/>
  <c r="AA454" i="17" s="1"/>
  <c r="O249" i="17"/>
  <c r="AA249" i="17" s="1"/>
  <c r="O297" i="17"/>
  <c r="AA297" i="17" s="1"/>
  <c r="O22" i="17"/>
  <c r="AA22" i="17" s="1"/>
  <c r="O86" i="17"/>
  <c r="AA86" i="17" s="1"/>
  <c r="O192" i="17"/>
  <c r="AA192" i="17" s="1"/>
  <c r="O256" i="17"/>
  <c r="AA256" i="17" s="1"/>
  <c r="O415" i="17"/>
  <c r="AA415" i="17" s="1"/>
  <c r="O462" i="17"/>
  <c r="AA462" i="17" s="1"/>
  <c r="O57" i="17"/>
  <c r="AA57" i="17" s="1"/>
  <c r="O289" i="17"/>
  <c r="AA289" i="17" s="1"/>
  <c r="O14" i="17"/>
  <c r="AA14" i="17" s="1"/>
  <c r="O78" i="17"/>
  <c r="AA78" i="17" s="1"/>
  <c r="O93" i="17"/>
  <c r="AA93" i="17" s="1"/>
  <c r="O125" i="17"/>
  <c r="AA125" i="17" s="1"/>
  <c r="O189" i="17"/>
  <c r="AA189" i="17" s="1"/>
  <c r="O253" i="17"/>
  <c r="AA253" i="17" s="1"/>
  <c r="O112" i="17"/>
  <c r="AA112" i="17" s="1"/>
  <c r="O176" i="17"/>
  <c r="AA176" i="17" s="1"/>
  <c r="O208" i="17"/>
  <c r="AA208" i="17" s="1"/>
  <c r="O272" i="17"/>
  <c r="AA272" i="17" s="1"/>
  <c r="O367" i="17"/>
  <c r="AA367" i="17" s="1"/>
  <c r="O330" i="17"/>
  <c r="AA330" i="17" s="1"/>
  <c r="O394" i="17"/>
  <c r="AA394" i="17" s="1"/>
  <c r="O228" i="17"/>
  <c r="AA228" i="17" s="1"/>
  <c r="O292" i="17"/>
  <c r="AA292" i="17" s="1"/>
  <c r="O323" i="17"/>
  <c r="AA323" i="17" s="1"/>
  <c r="O387" i="17"/>
  <c r="AA387" i="17" s="1"/>
  <c r="O350" i="17"/>
  <c r="AA350" i="17" s="1"/>
  <c r="O414" i="17"/>
  <c r="AA414" i="17" s="1"/>
  <c r="O446" i="17"/>
  <c r="AA446" i="17" s="1"/>
  <c r="O423" i="17"/>
  <c r="AA423" i="17" s="1"/>
  <c r="O487" i="17"/>
  <c r="AA487" i="17" s="1"/>
  <c r="O519" i="17"/>
  <c r="AA519" i="17" s="1"/>
  <c r="O528" i="17"/>
  <c r="AA528" i="17" s="1"/>
  <c r="O560" i="17"/>
  <c r="AA560" i="17" s="1"/>
  <c r="O606" i="17"/>
  <c r="AA606" i="17" s="1"/>
  <c r="P17" i="17"/>
  <c r="AB17" i="17" s="1"/>
  <c r="P81" i="17"/>
  <c r="AB81" i="17" s="1"/>
  <c r="P16" i="17"/>
  <c r="AB16" i="17" s="1"/>
  <c r="P80" i="17"/>
  <c r="AB80" i="17" s="1"/>
  <c r="O32" i="17"/>
  <c r="AA32" i="17" s="1"/>
  <c r="O96" i="17"/>
  <c r="AA96" i="17" s="1"/>
  <c r="O31" i="17"/>
  <c r="AA31" i="17" s="1"/>
  <c r="O95" i="17"/>
  <c r="AA95" i="17" s="1"/>
  <c r="O127" i="17"/>
  <c r="AA127" i="17" s="1"/>
  <c r="O191" i="17"/>
  <c r="AA191" i="17" s="1"/>
  <c r="O255" i="17"/>
  <c r="AA255" i="17" s="1"/>
  <c r="O114" i="17"/>
  <c r="AA114" i="17" s="1"/>
  <c r="O178" i="17"/>
  <c r="AA178" i="17" s="1"/>
  <c r="O210" i="17"/>
  <c r="AA210" i="17" s="1"/>
  <c r="O274" i="17"/>
  <c r="AA274" i="17" s="1"/>
  <c r="O369" i="17"/>
  <c r="AA369" i="17" s="1"/>
  <c r="O332" i="17"/>
  <c r="AA332" i="17" s="1"/>
  <c r="O396" i="17"/>
  <c r="AA396" i="17" s="1"/>
  <c r="O428" i="17"/>
  <c r="AA428" i="17" s="1"/>
  <c r="O492" i="17"/>
  <c r="AA492" i="17" s="1"/>
  <c r="O453" i="17"/>
  <c r="AA453" i="17" s="1"/>
  <c r="O517" i="17"/>
  <c r="AA517" i="17" s="1"/>
  <c r="O558" i="17"/>
  <c r="AA558" i="17" s="1"/>
  <c r="O571" i="17"/>
  <c r="AA571" i="17" s="1"/>
  <c r="O268" i="17"/>
  <c r="AA268" i="17" s="1"/>
  <c r="O313" i="17"/>
  <c r="AA313" i="17" s="1"/>
  <c r="O102" i="17"/>
  <c r="AA102" i="17" s="1"/>
  <c r="O109" i="17"/>
  <c r="AA109" i="17" s="1"/>
  <c r="O205" i="17"/>
  <c r="AA205" i="17" s="1"/>
  <c r="O128" i="17"/>
  <c r="AA128" i="17" s="1"/>
  <c r="O351" i="17"/>
  <c r="AA351" i="17" s="1"/>
  <c r="O212" i="17"/>
  <c r="AA212" i="17" s="1"/>
  <c r="O276" i="17"/>
  <c r="AA276" i="17" s="1"/>
  <c r="O371" i="17"/>
  <c r="AA371" i="17" s="1"/>
  <c r="O334" i="17"/>
  <c r="AA334" i="17" s="1"/>
  <c r="O398" i="17"/>
  <c r="AA398" i="17" s="1"/>
  <c r="O137" i="17"/>
  <c r="AA137" i="17" s="1"/>
  <c r="O201" i="17"/>
  <c r="AA201" i="17" s="1"/>
  <c r="O265" i="17"/>
  <c r="AA265" i="17" s="1"/>
  <c r="O305" i="17"/>
  <c r="AA305" i="17" s="1"/>
  <c r="O30" i="17"/>
  <c r="AA30" i="17" s="1"/>
  <c r="O94" i="17"/>
  <c r="AA94" i="17" s="1"/>
  <c r="O200" i="17"/>
  <c r="AA200" i="17" s="1"/>
  <c r="O264" i="17"/>
  <c r="AA264" i="17" s="1"/>
  <c r="O354" i="17"/>
  <c r="AA354" i="17" s="1"/>
  <c r="O156" i="17"/>
  <c r="AA156" i="17" s="1"/>
  <c r="O470" i="17"/>
  <c r="AA470" i="17" s="1"/>
  <c r="O33" i="17"/>
  <c r="AA33" i="17" s="1"/>
  <c r="O97" i="17"/>
  <c r="AA97" i="17" s="1"/>
  <c r="O29" i="17"/>
  <c r="AA29" i="17" s="1"/>
  <c r="O53" i="17"/>
  <c r="AA53" i="17" s="1"/>
  <c r="O133" i="17"/>
  <c r="AA133" i="17" s="1"/>
  <c r="O165" i="17"/>
  <c r="AA165" i="17" s="1"/>
  <c r="O197" i="17"/>
  <c r="AA197" i="17" s="1"/>
  <c r="O229" i="17"/>
  <c r="AA229" i="17" s="1"/>
  <c r="O261" i="17"/>
  <c r="AA261" i="17" s="1"/>
  <c r="O293" i="17"/>
  <c r="AA293" i="17" s="1"/>
  <c r="O120" i="17"/>
  <c r="AA120" i="17" s="1"/>
  <c r="O152" i="17"/>
  <c r="AA152" i="17" s="1"/>
  <c r="O216" i="17"/>
  <c r="AA216" i="17" s="1"/>
  <c r="O280" i="17"/>
  <c r="AA280" i="17" s="1"/>
  <c r="O343" i="17"/>
  <c r="AA343" i="17" s="1"/>
  <c r="O375" i="17"/>
  <c r="AA375" i="17" s="1"/>
  <c r="O346" i="17"/>
  <c r="AA346" i="17" s="1"/>
  <c r="O148" i="17"/>
  <c r="AA148" i="17" s="1"/>
  <c r="O220" i="17"/>
  <c r="AA220" i="17" s="1"/>
  <c r="O284" i="17"/>
  <c r="AA284" i="17" s="1"/>
  <c r="O315" i="17"/>
  <c r="AA315" i="17" s="1"/>
  <c r="O347" i="17"/>
  <c r="AA347" i="17" s="1"/>
  <c r="O379" i="17"/>
  <c r="AA379" i="17" s="1"/>
  <c r="O342" i="17"/>
  <c r="AA342" i="17" s="1"/>
  <c r="O374" i="17"/>
  <c r="AA374" i="17" s="1"/>
  <c r="O406" i="17"/>
  <c r="AA406" i="17" s="1"/>
  <c r="O422" i="17"/>
  <c r="AA422" i="17" s="1"/>
  <c r="O185" i="17"/>
  <c r="AA185" i="17" s="1"/>
  <c r="O124" i="17"/>
  <c r="AA124" i="17" s="1"/>
  <c r="O54" i="17"/>
  <c r="AA54" i="17" s="1"/>
  <c r="O224" i="17"/>
  <c r="AA224" i="17" s="1"/>
  <c r="O288" i="17"/>
  <c r="AA288" i="17" s="1"/>
  <c r="O430" i="17"/>
  <c r="AA430" i="17" s="1"/>
  <c r="O25" i="17"/>
  <c r="AA25" i="17" s="1"/>
  <c r="O89" i="17"/>
  <c r="AA89" i="17" s="1"/>
  <c r="O116" i="17"/>
  <c r="AA116" i="17" s="1"/>
  <c r="O46" i="17"/>
  <c r="AA46" i="17" s="1"/>
  <c r="O61" i="17"/>
  <c r="AA61" i="17" s="1"/>
  <c r="O157" i="17"/>
  <c r="AA157" i="17" s="1"/>
  <c r="O221" i="17"/>
  <c r="AA221" i="17" s="1"/>
  <c r="O285" i="17"/>
  <c r="AA285" i="17" s="1"/>
  <c r="O144" i="17"/>
  <c r="AA144" i="17" s="1"/>
  <c r="O240" i="17"/>
  <c r="AA240" i="17" s="1"/>
  <c r="O304" i="17"/>
  <c r="AA304" i="17" s="1"/>
  <c r="O335" i="17"/>
  <c r="AA335" i="17" s="1"/>
  <c r="O399" i="17"/>
  <c r="AA399" i="17" s="1"/>
  <c r="O362" i="17"/>
  <c r="AA362" i="17" s="1"/>
  <c r="O164" i="17"/>
  <c r="AA164" i="17" s="1"/>
  <c r="O196" i="17"/>
  <c r="AA196" i="17" s="1"/>
  <c r="O260" i="17"/>
  <c r="AA260" i="17" s="1"/>
  <c r="O355" i="17"/>
  <c r="AA355" i="17" s="1"/>
  <c r="O318" i="17"/>
  <c r="AA318" i="17" s="1"/>
  <c r="O382" i="17"/>
  <c r="AA382" i="17" s="1"/>
  <c r="O478" i="17"/>
  <c r="AA478" i="17" s="1"/>
  <c r="O494" i="17"/>
  <c r="AA494" i="17" s="1"/>
  <c r="O455" i="17"/>
  <c r="AA455" i="17" s="1"/>
  <c r="O592" i="17"/>
  <c r="AA592" i="17" s="1"/>
  <c r="O573" i="17"/>
  <c r="AA573" i="17" s="1"/>
  <c r="P49" i="17"/>
  <c r="AB49" i="17" s="1"/>
  <c r="P48" i="17"/>
  <c r="AB48" i="17" s="1"/>
  <c r="O64" i="17"/>
  <c r="AA64" i="17" s="1"/>
  <c r="O63" i="17"/>
  <c r="AA63" i="17" s="1"/>
  <c r="O159" i="17"/>
  <c r="AA159" i="17" s="1"/>
  <c r="O223" i="17"/>
  <c r="AA223" i="17" s="1"/>
  <c r="O287" i="17"/>
  <c r="AA287" i="17" s="1"/>
  <c r="O146" i="17"/>
  <c r="AA146" i="17" s="1"/>
  <c r="O242" i="17"/>
  <c r="AA242" i="17" s="1"/>
  <c r="O306" i="17"/>
  <c r="AA306" i="17" s="1"/>
  <c r="O337" i="17"/>
  <c r="AA337" i="17" s="1"/>
  <c r="O401" i="17"/>
  <c r="AA401" i="17" s="1"/>
  <c r="O364" i="17"/>
  <c r="AA364" i="17" s="1"/>
  <c r="O460" i="17"/>
  <c r="AA460" i="17" s="1"/>
  <c r="O421" i="17"/>
  <c r="AA421" i="17" s="1"/>
  <c r="O485" i="17"/>
  <c r="AA485" i="17" s="1"/>
  <c r="O526" i="17"/>
  <c r="AA526" i="17" s="1"/>
  <c r="O590" i="17"/>
  <c r="AA590" i="17" s="1"/>
  <c r="O604" i="17"/>
  <c r="AA604" i="17" s="1"/>
  <c r="P15" i="17"/>
  <c r="AB15" i="17" s="1"/>
  <c r="P79" i="17"/>
  <c r="AB79" i="17" s="1"/>
  <c r="P14" i="17"/>
  <c r="AB14" i="17" s="1"/>
  <c r="P78" i="17"/>
  <c r="AB78" i="17" s="1"/>
  <c r="O450" i="17"/>
  <c r="AA450" i="17" s="1"/>
  <c r="O514" i="17"/>
  <c r="AA514" i="17" s="1"/>
  <c r="O475" i="17"/>
  <c r="AA475" i="17" s="1"/>
  <c r="O76" i="17"/>
  <c r="AA76" i="17" s="1"/>
  <c r="O43" i="17"/>
  <c r="AA43" i="17" s="1"/>
  <c r="O75" i="17"/>
  <c r="AA75" i="17" s="1"/>
  <c r="O107" i="17"/>
  <c r="AA107" i="17" s="1"/>
  <c r="O139" i="17"/>
  <c r="AA139" i="17" s="1"/>
  <c r="O203" i="17"/>
  <c r="AA203" i="17" s="1"/>
  <c r="O267" i="17"/>
  <c r="AA267" i="17" s="1"/>
  <c r="O158" i="17"/>
  <c r="AA158" i="17" s="1"/>
  <c r="O440" i="17"/>
  <c r="AA440" i="17" s="1"/>
  <c r="O472" i="17"/>
  <c r="AA472" i="17" s="1"/>
  <c r="O504" i="17"/>
  <c r="AA504" i="17" s="1"/>
  <c r="O433" i="17"/>
  <c r="AA433" i="17" s="1"/>
  <c r="O465" i="17"/>
  <c r="AA465" i="17" s="1"/>
  <c r="O497" i="17"/>
  <c r="AA497" i="17" s="1"/>
  <c r="O597" i="17"/>
  <c r="AA597" i="17" s="1"/>
  <c r="P59" i="17"/>
  <c r="AB59" i="17" s="1"/>
  <c r="O431" i="17"/>
  <c r="AA431" i="17" s="1"/>
  <c r="O495" i="17"/>
  <c r="AA495" i="17" s="1"/>
  <c r="O527" i="17"/>
  <c r="AA527" i="17" s="1"/>
  <c r="O536" i="17"/>
  <c r="AA536" i="17" s="1"/>
  <c r="O568" i="17"/>
  <c r="AA568" i="17" s="1"/>
  <c r="O549" i="17"/>
  <c r="AA549" i="17" s="1"/>
  <c r="O595" i="17"/>
  <c r="AA595" i="17" s="1"/>
  <c r="P25" i="17"/>
  <c r="AB25" i="17" s="1"/>
  <c r="P89" i="17"/>
  <c r="AB89" i="17" s="1"/>
  <c r="P24" i="17"/>
  <c r="AB24" i="17" s="1"/>
  <c r="P88" i="17"/>
  <c r="AB88" i="17" s="1"/>
  <c r="O40" i="17"/>
  <c r="AA40" i="17" s="1"/>
  <c r="O104" i="17"/>
  <c r="AA104" i="17" s="1"/>
  <c r="O39" i="17"/>
  <c r="AA39" i="17" s="1"/>
  <c r="O103" i="17"/>
  <c r="AA103" i="17" s="1"/>
  <c r="O135" i="17"/>
  <c r="AA135" i="17" s="1"/>
  <c r="O199" i="17"/>
  <c r="AA199" i="17" s="1"/>
  <c r="O263" i="17"/>
  <c r="AA263" i="17" s="1"/>
  <c r="O122" i="17"/>
  <c r="AA122" i="17" s="1"/>
  <c r="O218" i="17"/>
  <c r="AA218" i="17" s="1"/>
  <c r="O282" i="17"/>
  <c r="AA282" i="17" s="1"/>
  <c r="O314" i="17"/>
  <c r="AA314" i="17" s="1"/>
  <c r="O377" i="17"/>
  <c r="AA377" i="17" s="1"/>
  <c r="O409" i="17"/>
  <c r="AA409" i="17" s="1"/>
  <c r="O340" i="17"/>
  <c r="AA340" i="17" s="1"/>
  <c r="O404" i="17"/>
  <c r="AA404" i="17" s="1"/>
  <c r="O436" i="17"/>
  <c r="AA436" i="17" s="1"/>
  <c r="O500" i="17"/>
  <c r="AA500" i="17" s="1"/>
  <c r="O461" i="17"/>
  <c r="AA461" i="17" s="1"/>
  <c r="O566" i="17"/>
  <c r="AA566" i="17" s="1"/>
  <c r="O579" i="17"/>
  <c r="AA579" i="17" s="1"/>
  <c r="P55" i="17"/>
  <c r="AB55" i="17" s="1"/>
  <c r="P54" i="17"/>
  <c r="AB54" i="17" s="1"/>
  <c r="O426" i="17"/>
  <c r="AA426" i="17" s="1"/>
  <c r="O490" i="17"/>
  <c r="AA490" i="17" s="1"/>
  <c r="O451" i="17"/>
  <c r="AA451" i="17" s="1"/>
  <c r="O588" i="17"/>
  <c r="AA588" i="17" s="1"/>
  <c r="P45" i="17"/>
  <c r="AB45" i="17" s="1"/>
  <c r="P109" i="17"/>
  <c r="AB109" i="17" s="1"/>
  <c r="O50" i="17"/>
  <c r="AA50" i="17" s="1"/>
  <c r="O177" i="17"/>
  <c r="AA177" i="17" s="1"/>
  <c r="O37" i="17"/>
  <c r="AA37" i="17" s="1"/>
  <c r="O84" i="17"/>
  <c r="AA84" i="17" s="1"/>
  <c r="O147" i="17"/>
  <c r="AA147" i="17" s="1"/>
  <c r="O211" i="17"/>
  <c r="AA211" i="17" s="1"/>
  <c r="O275" i="17"/>
  <c r="AA275" i="17" s="1"/>
  <c r="O134" i="17"/>
  <c r="AA134" i="17" s="1"/>
  <c r="O230" i="17"/>
  <c r="AA230" i="17" s="1"/>
  <c r="O294" i="17"/>
  <c r="AA294" i="17" s="1"/>
  <c r="P35" i="17"/>
  <c r="AB35" i="17" s="1"/>
  <c r="P99" i="17"/>
  <c r="AB99" i="17" s="1"/>
  <c r="P34" i="17"/>
  <c r="AB34" i="17" s="1"/>
  <c r="P100" i="17"/>
  <c r="AB100" i="17" s="1"/>
  <c r="O507" i="17"/>
  <c r="AA507" i="17" s="1"/>
  <c r="O561" i="17"/>
  <c r="AA561" i="17" s="1"/>
  <c r="P36" i="17"/>
  <c r="AB36" i="17" s="1"/>
  <c r="O52" i="17"/>
  <c r="AA52" i="17" s="1"/>
  <c r="O27" i="17"/>
  <c r="AA27" i="17" s="1"/>
  <c r="O91" i="17"/>
  <c r="AA91" i="17" s="1"/>
  <c r="O333" i="17"/>
  <c r="AA333" i="17" s="1"/>
  <c r="O397" i="17"/>
  <c r="AA397" i="17" s="1"/>
  <c r="O360" i="17"/>
  <c r="AA360" i="17" s="1"/>
  <c r="O456" i="17"/>
  <c r="AA456" i="17" s="1"/>
  <c r="O481" i="17"/>
  <c r="AA481" i="17" s="1"/>
  <c r="O522" i="17"/>
  <c r="AA522" i="17" s="1"/>
  <c r="O586" i="17"/>
  <c r="AA586" i="17" s="1"/>
  <c r="O600" i="17"/>
  <c r="AA600" i="17" s="1"/>
  <c r="O439" i="17"/>
  <c r="AA439" i="17" s="1"/>
  <c r="O503" i="17"/>
  <c r="AA503" i="17" s="1"/>
  <c r="O535" i="17"/>
  <c r="AA535" i="17" s="1"/>
  <c r="O576" i="17"/>
  <c r="AA576" i="17" s="1"/>
  <c r="O557" i="17"/>
  <c r="AA557" i="17" s="1"/>
  <c r="P33" i="17"/>
  <c r="AB33" i="17" s="1"/>
  <c r="P97" i="17"/>
  <c r="AB97" i="17" s="1"/>
  <c r="P32" i="17"/>
  <c r="AB32" i="17" s="1"/>
  <c r="O48" i="17"/>
  <c r="AA48" i="17" s="1"/>
  <c r="O47" i="17"/>
  <c r="AA47" i="17" s="1"/>
  <c r="O143" i="17"/>
  <c r="AA143" i="17" s="1"/>
  <c r="O207" i="17"/>
  <c r="AA207" i="17" s="1"/>
  <c r="O271" i="17"/>
  <c r="AA271" i="17" s="1"/>
  <c r="O130" i="17"/>
  <c r="AA130" i="17" s="1"/>
  <c r="O226" i="17"/>
  <c r="AA226" i="17" s="1"/>
  <c r="O290" i="17"/>
  <c r="AA290" i="17" s="1"/>
  <c r="O321" i="17"/>
  <c r="AA321" i="17" s="1"/>
  <c r="O385" i="17"/>
  <c r="AA385" i="17" s="1"/>
  <c r="O348" i="17"/>
  <c r="AA348" i="17" s="1"/>
  <c r="O412" i="17"/>
  <c r="AA412" i="17" s="1"/>
  <c r="O444" i="17"/>
  <c r="AA444" i="17" s="1"/>
  <c r="O508" i="17"/>
  <c r="AA508" i="17" s="1"/>
  <c r="O469" i="17"/>
  <c r="AA469" i="17" s="1"/>
  <c r="O574" i="17"/>
  <c r="AA574" i="17" s="1"/>
  <c r="O587" i="17"/>
  <c r="AA587" i="17" s="1"/>
  <c r="O601" i="17"/>
  <c r="AA601" i="17" s="1"/>
  <c r="P63" i="17"/>
  <c r="AB63" i="17" s="1"/>
  <c r="P62" i="17"/>
  <c r="AB62" i="17" s="1"/>
  <c r="O434" i="17"/>
  <c r="AA434" i="17" s="1"/>
  <c r="O498" i="17"/>
  <c r="AA498" i="17" s="1"/>
  <c r="O459" i="17"/>
  <c r="AA459" i="17" s="1"/>
  <c r="O564" i="17"/>
  <c r="AA564" i="17" s="1"/>
  <c r="P47" i="17"/>
  <c r="AB47" i="17" s="1"/>
  <c r="P46" i="17"/>
  <c r="AB46" i="17" s="1"/>
  <c r="O418" i="17"/>
  <c r="AA418" i="17" s="1"/>
  <c r="O482" i="17"/>
  <c r="AA482" i="17" s="1"/>
  <c r="O443" i="17"/>
  <c r="AA443" i="17" s="1"/>
  <c r="O532" i="17"/>
  <c r="AA532" i="17" s="1"/>
  <c r="O36" i="17"/>
  <c r="AA36" i="17" s="1"/>
  <c r="O108" i="17"/>
  <c r="AA108" i="17" s="1"/>
  <c r="O171" i="17"/>
  <c r="AA171" i="17" s="1"/>
  <c r="O235" i="17"/>
  <c r="AA235" i="17" s="1"/>
  <c r="O299" i="17"/>
  <c r="AA299" i="17" s="1"/>
  <c r="O126" i="17"/>
  <c r="AA126" i="17" s="1"/>
  <c r="O538" i="17"/>
  <c r="AA538" i="17" s="1"/>
  <c r="O570" i="17"/>
  <c r="AA570" i="17" s="1"/>
  <c r="O551" i="17"/>
  <c r="AA551" i="17" s="1"/>
  <c r="O583" i="17"/>
  <c r="AA583" i="17" s="1"/>
  <c r="P27" i="17"/>
  <c r="AB27" i="17" s="1"/>
  <c r="P91" i="17"/>
  <c r="AB91" i="17" s="1"/>
  <c r="O502" i="17"/>
  <c r="AA502" i="17" s="1"/>
  <c r="O463" i="17"/>
  <c r="AA463" i="17" s="1"/>
  <c r="O581" i="17"/>
  <c r="AA581" i="17" s="1"/>
  <c r="P57" i="17"/>
  <c r="AB57" i="17" s="1"/>
  <c r="P56" i="17"/>
  <c r="AB56" i="17" s="1"/>
  <c r="O72" i="17"/>
  <c r="AA72" i="17" s="1"/>
  <c r="O71" i="17"/>
  <c r="AA71" i="17" s="1"/>
  <c r="O167" i="17"/>
  <c r="AA167" i="17" s="1"/>
  <c r="O231" i="17"/>
  <c r="AA231" i="17" s="1"/>
  <c r="O295" i="17"/>
  <c r="AA295" i="17" s="1"/>
  <c r="O154" i="17"/>
  <c r="AA154" i="17" s="1"/>
  <c r="O186" i="17"/>
  <c r="AA186" i="17" s="1"/>
  <c r="O250" i="17"/>
  <c r="AA250" i="17" s="1"/>
  <c r="O345" i="17"/>
  <c r="AA345" i="17" s="1"/>
  <c r="O372" i="17"/>
  <c r="AA372" i="17" s="1"/>
  <c r="O468" i="17"/>
  <c r="AA468" i="17" s="1"/>
  <c r="O429" i="17"/>
  <c r="AA429" i="17" s="1"/>
  <c r="O493" i="17"/>
  <c r="AA493" i="17" s="1"/>
  <c r="O525" i="17"/>
  <c r="AA525" i="17" s="1"/>
  <c r="O534" i="17"/>
  <c r="AA534" i="17" s="1"/>
  <c r="O547" i="17"/>
  <c r="AA547" i="17" s="1"/>
  <c r="O612" i="17"/>
  <c r="AA612" i="17" s="1"/>
  <c r="P23" i="17"/>
  <c r="AB23" i="17" s="1"/>
  <c r="P87" i="17"/>
  <c r="AB87" i="17" s="1"/>
  <c r="P22" i="17"/>
  <c r="AB22" i="17" s="1"/>
  <c r="P86" i="17"/>
  <c r="AB86" i="17" s="1"/>
  <c r="O458" i="17"/>
  <c r="AA458" i="17" s="1"/>
  <c r="O419" i="17"/>
  <c r="AA419" i="17" s="1"/>
  <c r="O524" i="17"/>
  <c r="AA524" i="17" s="1"/>
  <c r="O556" i="17"/>
  <c r="AA556" i="17" s="1"/>
  <c r="P13" i="17"/>
  <c r="AB13" i="17" s="1"/>
  <c r="P77" i="17"/>
  <c r="AB77" i="17" s="1"/>
  <c r="O113" i="17"/>
  <c r="AA113" i="17" s="1"/>
  <c r="O241" i="17"/>
  <c r="AA241" i="17" s="1"/>
  <c r="O115" i="17"/>
  <c r="AA115" i="17" s="1"/>
  <c r="O179" i="17"/>
  <c r="AA179" i="17" s="1"/>
  <c r="O243" i="17"/>
  <c r="AA243" i="17" s="1"/>
  <c r="O307" i="17"/>
  <c r="AA307" i="17" s="1"/>
  <c r="O166" i="17"/>
  <c r="AA166" i="17" s="1"/>
  <c r="O198" i="17"/>
  <c r="AA198" i="17" s="1"/>
  <c r="O262" i="17"/>
  <c r="AA262" i="17" s="1"/>
  <c r="O605" i="17"/>
  <c r="AA605" i="17" s="1"/>
  <c r="P67" i="17"/>
  <c r="AB67" i="17" s="1"/>
  <c r="P66" i="17"/>
  <c r="AB66" i="17" s="1"/>
  <c r="P132" i="17"/>
  <c r="AB132" i="17" s="1"/>
  <c r="O593" i="17"/>
  <c r="AA593" i="17" s="1"/>
  <c r="P68" i="17"/>
  <c r="AB68" i="17" s="1"/>
  <c r="O20" i="17"/>
  <c r="AA20" i="17" s="1"/>
  <c r="O59" i="17"/>
  <c r="AA59" i="17" s="1"/>
  <c r="O365" i="17"/>
  <c r="AA365" i="17" s="1"/>
  <c r="O328" i="17"/>
  <c r="AA328" i="17" s="1"/>
  <c r="O392" i="17"/>
  <c r="AA392" i="17" s="1"/>
  <c r="O424" i="17"/>
  <c r="AA424" i="17" s="1"/>
  <c r="O488" i="17"/>
  <c r="AA488" i="17" s="1"/>
  <c r="O417" i="17"/>
  <c r="AA417" i="17" s="1"/>
  <c r="O449" i="17"/>
  <c r="AA449" i="17" s="1"/>
  <c r="O513" i="17"/>
  <c r="AA513" i="17" s="1"/>
  <c r="O554" i="17"/>
  <c r="AA554" i="17" s="1"/>
  <c r="O567" i="17"/>
  <c r="AA567" i="17" s="1"/>
  <c r="O510" i="17"/>
  <c r="AA510" i="17" s="1"/>
  <c r="O471" i="17"/>
  <c r="AA471" i="17" s="1"/>
  <c r="O544" i="17"/>
  <c r="AA544" i="17" s="1"/>
  <c r="O589" i="17"/>
  <c r="AA589" i="17" s="1"/>
  <c r="O603" i="17"/>
  <c r="AA603" i="17" s="1"/>
  <c r="P65" i="17"/>
  <c r="AB65" i="17" s="1"/>
  <c r="P64" i="17"/>
  <c r="AB64" i="17" s="1"/>
  <c r="O16" i="17"/>
  <c r="AA16" i="17" s="1"/>
  <c r="O80" i="17"/>
  <c r="AA80" i="17" s="1"/>
  <c r="O15" i="17"/>
  <c r="AA15" i="17" s="1"/>
  <c r="O79" i="17"/>
  <c r="AA79" i="17" s="1"/>
  <c r="O111" i="17"/>
  <c r="AA111" i="17" s="1"/>
  <c r="O175" i="17"/>
  <c r="AA175" i="17" s="1"/>
  <c r="O239" i="17"/>
  <c r="AA239" i="17" s="1"/>
  <c r="O303" i="17"/>
  <c r="AA303" i="17" s="1"/>
  <c r="O162" i="17"/>
  <c r="AA162" i="17" s="1"/>
  <c r="O194" i="17"/>
  <c r="AA194" i="17" s="1"/>
  <c r="O258" i="17"/>
  <c r="AA258" i="17" s="1"/>
  <c r="O353" i="17"/>
  <c r="AA353" i="17" s="1"/>
  <c r="O316" i="17"/>
  <c r="AA316" i="17" s="1"/>
  <c r="O380" i="17"/>
  <c r="AA380" i="17" s="1"/>
  <c r="O476" i="17"/>
  <c r="AA476" i="17" s="1"/>
  <c r="O437" i="17"/>
  <c r="AA437" i="17" s="1"/>
  <c r="O501" i="17"/>
  <c r="AA501" i="17" s="1"/>
  <c r="O533" i="17"/>
  <c r="AA533" i="17" s="1"/>
  <c r="O542" i="17"/>
  <c r="AA542" i="17" s="1"/>
  <c r="O555" i="17"/>
  <c r="AA555" i="17" s="1"/>
  <c r="P31" i="17"/>
  <c r="AB31" i="17" s="1"/>
  <c r="P95" i="17"/>
  <c r="AB95" i="17" s="1"/>
  <c r="P30" i="17"/>
  <c r="AB30" i="17" s="1"/>
  <c r="P96" i="17"/>
  <c r="AB96" i="17" s="1"/>
  <c r="O466" i="17"/>
  <c r="AA466" i="17" s="1"/>
  <c r="O427" i="17"/>
  <c r="AA427" i="17" s="1"/>
  <c r="O491" i="17"/>
  <c r="AA491" i="17" s="1"/>
  <c r="O523" i="17"/>
  <c r="AA523" i="17" s="1"/>
  <c r="O539" i="17"/>
  <c r="AA539" i="17" s="1"/>
  <c r="O548" i="17"/>
  <c r="AA548" i="17" s="1"/>
  <c r="O580" i="17"/>
  <c r="AA580" i="17" s="1"/>
  <c r="O545" i="17"/>
  <c r="AA545" i="17" s="1"/>
  <c r="O610" i="17"/>
  <c r="AA610" i="17" s="1"/>
  <c r="O607" i="17"/>
  <c r="AA607" i="17" s="1"/>
  <c r="P37" i="17"/>
  <c r="AB37" i="17" s="1"/>
  <c r="P69" i="17"/>
  <c r="AB69" i="17" s="1"/>
  <c r="P101" i="17"/>
  <c r="AB101" i="17" s="1"/>
  <c r="P20" i="17"/>
  <c r="AB20" i="17" s="1"/>
  <c r="P84" i="17"/>
  <c r="AB84" i="17" s="1"/>
  <c r="O34" i="17"/>
  <c r="AA34" i="17" s="1"/>
  <c r="O98" i="17"/>
  <c r="AA98" i="17" s="1"/>
  <c r="O161" i="17"/>
  <c r="AA161" i="17" s="1"/>
  <c r="O225" i="17"/>
  <c r="AA225" i="17" s="1"/>
  <c r="O21" i="17"/>
  <c r="AA21" i="17" s="1"/>
  <c r="O60" i="17"/>
  <c r="AA60" i="17" s="1"/>
  <c r="O19" i="17"/>
  <c r="AA19" i="17" s="1"/>
  <c r="O83" i="17"/>
  <c r="AA83" i="17" s="1"/>
  <c r="O155" i="17"/>
  <c r="AA155" i="17" s="1"/>
  <c r="O219" i="17"/>
  <c r="AA219" i="17" s="1"/>
  <c r="O283" i="17"/>
  <c r="AA283" i="17" s="1"/>
  <c r="O110" i="17"/>
  <c r="AA110" i="17" s="1"/>
  <c r="O142" i="17"/>
  <c r="AA142" i="17" s="1"/>
  <c r="O206" i="17"/>
  <c r="AA206" i="17" s="1"/>
  <c r="O238" i="17"/>
  <c r="AA238" i="17" s="1"/>
  <c r="O270" i="17"/>
  <c r="AA270" i="17" s="1"/>
  <c r="O302" i="17"/>
  <c r="AA302" i="17" s="1"/>
  <c r="O317" i="17"/>
  <c r="AA317" i="17" s="1"/>
  <c r="O381" i="17"/>
  <c r="AA381" i="17" s="1"/>
  <c r="O413" i="17"/>
  <c r="AA413" i="17" s="1"/>
  <c r="O344" i="17"/>
  <c r="AA344" i="17" s="1"/>
  <c r="O408" i="17"/>
  <c r="AA408" i="17" s="1"/>
  <c r="O480" i="17"/>
  <c r="AA480" i="17" s="1"/>
  <c r="O441" i="17"/>
  <c r="AA441" i="17" s="1"/>
  <c r="O505" i="17"/>
  <c r="AA505" i="17" s="1"/>
  <c r="O546" i="17"/>
  <c r="AA546" i="17" s="1"/>
  <c r="O559" i="17"/>
  <c r="AA559" i="17" s="1"/>
  <c r="O613" i="17"/>
  <c r="AA613" i="17" s="1"/>
  <c r="P75" i="17"/>
  <c r="AB75" i="17" s="1"/>
  <c r="P42" i="17"/>
  <c r="AB42" i="17" s="1"/>
  <c r="P74" i="17"/>
  <c r="AB74" i="17" s="1"/>
  <c r="P108" i="17"/>
  <c r="AB108" i="17" s="1"/>
  <c r="O483" i="17"/>
  <c r="AA483" i="17" s="1"/>
  <c r="O602" i="17"/>
  <c r="AA602" i="17" s="1"/>
  <c r="P76" i="17"/>
  <c r="AB76" i="17" s="1"/>
  <c r="O325" i="17"/>
  <c r="AA325" i="17" s="1"/>
  <c r="O389" i="17"/>
  <c r="AA389" i="17" s="1"/>
  <c r="O352" i="17"/>
  <c r="AA352" i="17" s="1"/>
  <c r="O416" i="17"/>
  <c r="AA416" i="17" s="1"/>
  <c r="O479" i="17"/>
  <c r="AA479" i="17" s="1"/>
  <c r="O543" i="17"/>
  <c r="AA543" i="17" s="1"/>
  <c r="O552" i="17"/>
  <c r="AA552" i="17" s="1"/>
  <c r="O598" i="17"/>
  <c r="AA598" i="17" s="1"/>
  <c r="O611" i="17"/>
  <c r="AA611" i="17" s="1"/>
  <c r="P73" i="17"/>
  <c r="AB73" i="17" s="1"/>
  <c r="P72" i="17"/>
  <c r="AB72" i="17" s="1"/>
  <c r="O24" i="17"/>
  <c r="AA24" i="17" s="1"/>
  <c r="O88" i="17"/>
  <c r="AA88" i="17" s="1"/>
  <c r="O23" i="17"/>
  <c r="AA23" i="17" s="1"/>
  <c r="O87" i="17"/>
  <c r="AA87" i="17" s="1"/>
  <c r="O119" i="17"/>
  <c r="AA119" i="17" s="1"/>
  <c r="O183" i="17"/>
  <c r="AA183" i="17" s="1"/>
  <c r="O247" i="17"/>
  <c r="AA247" i="17" s="1"/>
  <c r="O311" i="17"/>
  <c r="AA311" i="17" s="1"/>
  <c r="O170" i="17"/>
  <c r="AA170" i="17" s="1"/>
  <c r="O202" i="17"/>
  <c r="AA202" i="17" s="1"/>
  <c r="O266" i="17"/>
  <c r="AA266" i="17" s="1"/>
  <c r="O361" i="17"/>
  <c r="AA361" i="17" s="1"/>
  <c r="O324" i="17"/>
  <c r="AA324" i="17" s="1"/>
  <c r="O388" i="17"/>
  <c r="AA388" i="17" s="1"/>
  <c r="O420" i="17"/>
  <c r="AA420" i="17" s="1"/>
  <c r="O484" i="17"/>
  <c r="AA484" i="17" s="1"/>
  <c r="O445" i="17"/>
  <c r="AA445" i="17" s="1"/>
  <c r="O509" i="17"/>
  <c r="AA509" i="17" s="1"/>
  <c r="O550" i="17"/>
  <c r="AA550" i="17" s="1"/>
  <c r="O563" i="17"/>
  <c r="AA563" i="17" s="1"/>
  <c r="P39" i="17"/>
  <c r="AB39" i="17" s="1"/>
  <c r="P103" i="17"/>
  <c r="AB103" i="17" s="1"/>
  <c r="P38" i="17"/>
  <c r="AB38" i="17" s="1"/>
  <c r="O474" i="17"/>
  <c r="AA474" i="17" s="1"/>
  <c r="O435" i="17"/>
  <c r="AA435" i="17" s="1"/>
  <c r="O499" i="17"/>
  <c r="AA499" i="17" s="1"/>
  <c r="O531" i="17"/>
  <c r="AA531" i="17" s="1"/>
  <c r="O540" i="17"/>
  <c r="AA540" i="17" s="1"/>
  <c r="O572" i="17"/>
  <c r="AA572" i="17" s="1"/>
  <c r="O553" i="17"/>
  <c r="AA553" i="17" s="1"/>
  <c r="P29" i="17"/>
  <c r="AB29" i="17" s="1"/>
  <c r="P93" i="17"/>
  <c r="AB93" i="17" s="1"/>
  <c r="P28" i="17"/>
  <c r="AB28" i="17" s="1"/>
  <c r="P92" i="17"/>
  <c r="AB92" i="17" s="1"/>
  <c r="O44" i="17"/>
  <c r="AA44" i="17" s="1"/>
  <c r="O82" i="17"/>
  <c r="AA82" i="17" s="1"/>
  <c r="O209" i="17"/>
  <c r="AA209" i="17" s="1"/>
  <c r="O100" i="17"/>
  <c r="AA100" i="17" s="1"/>
  <c r="O35" i="17"/>
  <c r="AA35" i="17" s="1"/>
  <c r="O99" i="17"/>
  <c r="AA99" i="17" s="1"/>
  <c r="O131" i="17"/>
  <c r="AA131" i="17" s="1"/>
  <c r="O195" i="17"/>
  <c r="AA195" i="17" s="1"/>
  <c r="O259" i="17"/>
  <c r="AA259" i="17" s="1"/>
  <c r="O118" i="17"/>
  <c r="AA118" i="17" s="1"/>
  <c r="O214" i="17"/>
  <c r="AA214" i="17" s="1"/>
  <c r="O278" i="17"/>
  <c r="AA278" i="17" s="1"/>
  <c r="O373" i="17"/>
  <c r="AA373" i="17" s="1"/>
  <c r="O336" i="17"/>
  <c r="AA336" i="17" s="1"/>
  <c r="O400" i="17"/>
  <c r="AA400" i="17" s="1"/>
  <c r="O432" i="17"/>
  <c r="AA432" i="17" s="1"/>
  <c r="O496" i="17"/>
  <c r="AA496" i="17" s="1"/>
  <c r="O457" i="17"/>
  <c r="AA457" i="17" s="1"/>
  <c r="O562" i="17"/>
  <c r="AA562" i="17" s="1"/>
  <c r="O575" i="17"/>
  <c r="AA575" i="17" s="1"/>
  <c r="P51" i="17"/>
  <c r="AB51" i="17" s="1"/>
  <c r="P50" i="17"/>
  <c r="AB50" i="17" s="1"/>
  <c r="P116" i="17"/>
  <c r="AB116" i="17" s="1"/>
  <c r="P180" i="17"/>
  <c r="AB180" i="17" s="1"/>
  <c r="P160" i="17"/>
  <c r="AB160" i="17" s="1"/>
  <c r="P224" i="17"/>
  <c r="AB224" i="17" s="1"/>
  <c r="P288" i="17"/>
  <c r="AB288" i="17" s="1"/>
  <c r="P147" i="17"/>
  <c r="AB147" i="17" s="1"/>
  <c r="P211" i="17"/>
  <c r="AB211" i="17" s="1"/>
  <c r="P275" i="17"/>
  <c r="AB275" i="17" s="1"/>
  <c r="P372" i="17"/>
  <c r="AB372" i="17" s="1"/>
  <c r="P365" i="17"/>
  <c r="AB365" i="17" s="1"/>
  <c r="P461" i="17"/>
  <c r="AB461" i="17" s="1"/>
  <c r="P424" i="17"/>
  <c r="AB424" i="17" s="1"/>
  <c r="P488" i="17"/>
  <c r="AB488" i="17" s="1"/>
  <c r="P583" i="17"/>
  <c r="AB583" i="17" s="1"/>
  <c r="P541" i="17"/>
  <c r="AB541" i="17" s="1"/>
  <c r="P603" i="17"/>
  <c r="AB603" i="17" s="1"/>
  <c r="P94" i="17"/>
  <c r="AB94" i="17" s="1"/>
  <c r="P158" i="17"/>
  <c r="AB158" i="17" s="1"/>
  <c r="P222" i="17"/>
  <c r="AB222" i="17" s="1"/>
  <c r="P286" i="17"/>
  <c r="AB286" i="17" s="1"/>
  <c r="P145" i="17"/>
  <c r="AB145" i="17" s="1"/>
  <c r="P209" i="17"/>
  <c r="AB209" i="17" s="1"/>
  <c r="P273" i="17"/>
  <c r="AB273" i="17" s="1"/>
  <c r="P370" i="17"/>
  <c r="AB370" i="17" s="1"/>
  <c r="P363" i="17"/>
  <c r="AB363" i="17" s="1"/>
  <c r="P459" i="17"/>
  <c r="AB459" i="17" s="1"/>
  <c r="P422" i="17"/>
  <c r="AB422" i="17" s="1"/>
  <c r="P486" i="17"/>
  <c r="AB486" i="17" s="1"/>
  <c r="P549" i="17"/>
  <c r="AB549" i="17" s="1"/>
  <c r="P539" i="17"/>
  <c r="AB539" i="17" s="1"/>
  <c r="P601" i="17"/>
  <c r="AB601" i="17" s="1"/>
  <c r="O518" i="17"/>
  <c r="AA518" i="17" s="1"/>
  <c r="O577" i="17"/>
  <c r="AA577" i="17" s="1"/>
  <c r="P21" i="17"/>
  <c r="AB21" i="17" s="1"/>
  <c r="P53" i="17"/>
  <c r="AB53" i="17" s="1"/>
  <c r="P85" i="17"/>
  <c r="AB85" i="17" s="1"/>
  <c r="P52" i="17"/>
  <c r="AB52" i="17" s="1"/>
  <c r="O28" i="17"/>
  <c r="AA28" i="17" s="1"/>
  <c r="O66" i="17"/>
  <c r="AA66" i="17" s="1"/>
  <c r="O129" i="17"/>
  <c r="AA129" i="17" s="1"/>
  <c r="O193" i="17"/>
  <c r="AA193" i="17" s="1"/>
  <c r="O257" i="17"/>
  <c r="AA257" i="17" s="1"/>
  <c r="O92" i="17"/>
  <c r="AA92" i="17" s="1"/>
  <c r="O51" i="17"/>
  <c r="AA51" i="17" s="1"/>
  <c r="O123" i="17"/>
  <c r="AA123" i="17" s="1"/>
  <c r="O187" i="17"/>
  <c r="AA187" i="17" s="1"/>
  <c r="O251" i="17"/>
  <c r="AA251" i="17" s="1"/>
  <c r="O174" i="17"/>
  <c r="AA174" i="17" s="1"/>
  <c r="O190" i="17"/>
  <c r="AA190" i="17" s="1"/>
  <c r="O222" i="17"/>
  <c r="AA222" i="17" s="1"/>
  <c r="O254" i="17"/>
  <c r="AA254" i="17" s="1"/>
  <c r="O286" i="17"/>
  <c r="AA286" i="17" s="1"/>
  <c r="O349" i="17"/>
  <c r="AA349" i="17" s="1"/>
  <c r="O376" i="17"/>
  <c r="AA376" i="17" s="1"/>
  <c r="O448" i="17"/>
  <c r="AA448" i="17" s="1"/>
  <c r="O512" i="17"/>
  <c r="AA512" i="17" s="1"/>
  <c r="O473" i="17"/>
  <c r="AA473" i="17" s="1"/>
  <c r="O529" i="17"/>
  <c r="AA529" i="17" s="1"/>
  <c r="O578" i="17"/>
  <c r="AA578" i="17" s="1"/>
  <c r="O591" i="17"/>
  <c r="AA591" i="17" s="1"/>
  <c r="P43" i="17"/>
  <c r="AB43" i="17" s="1"/>
  <c r="P107" i="17"/>
  <c r="AB107" i="17" s="1"/>
  <c r="P26" i="17"/>
  <c r="AB26" i="17" s="1"/>
  <c r="P58" i="17"/>
  <c r="AB58" i="17" s="1"/>
  <c r="P90" i="17"/>
  <c r="AB90" i="17" s="1"/>
  <c r="P124" i="17"/>
  <c r="AB124" i="17" s="1"/>
  <c r="O515" i="17"/>
  <c r="AA515" i="17" s="1"/>
  <c r="O569" i="17"/>
  <c r="AA569" i="17" s="1"/>
  <c r="P44" i="17"/>
  <c r="AB44" i="17" s="1"/>
  <c r="O357" i="17"/>
  <c r="AA357" i="17" s="1"/>
  <c r="O320" i="17"/>
  <c r="AA320" i="17" s="1"/>
  <c r="O384" i="17"/>
  <c r="AA384" i="17" s="1"/>
  <c r="O537" i="17"/>
  <c r="AA537" i="17" s="1"/>
  <c r="O486" i="17"/>
  <c r="AA486" i="17" s="1"/>
  <c r="O520" i="17"/>
  <c r="AA520" i="17" s="1"/>
  <c r="O447" i="17"/>
  <c r="AA447" i="17" s="1"/>
  <c r="O511" i="17"/>
  <c r="AA511" i="17" s="1"/>
  <c r="O584" i="17"/>
  <c r="AA584" i="17" s="1"/>
  <c r="O565" i="17"/>
  <c r="AA565" i="17" s="1"/>
  <c r="P41" i="17"/>
  <c r="AB41" i="17" s="1"/>
  <c r="P105" i="17"/>
  <c r="AB105" i="17" s="1"/>
  <c r="P40" i="17"/>
  <c r="AB40" i="17" s="1"/>
  <c r="O56" i="17"/>
  <c r="AA56" i="17" s="1"/>
  <c r="O55" i="17"/>
  <c r="AA55" i="17" s="1"/>
  <c r="O151" i="17"/>
  <c r="AA151" i="17" s="1"/>
  <c r="O215" i="17"/>
  <c r="AA215" i="17" s="1"/>
  <c r="O279" i="17"/>
  <c r="AA279" i="17" s="1"/>
  <c r="O138" i="17"/>
  <c r="AA138" i="17" s="1"/>
  <c r="O234" i="17"/>
  <c r="AA234" i="17" s="1"/>
  <c r="O298" i="17"/>
  <c r="AA298" i="17" s="1"/>
  <c r="O329" i="17"/>
  <c r="AA329" i="17" s="1"/>
  <c r="O393" i="17"/>
  <c r="AA393" i="17" s="1"/>
  <c r="O356" i="17"/>
  <c r="AA356" i="17" s="1"/>
  <c r="O452" i="17"/>
  <c r="AA452" i="17" s="1"/>
  <c r="O516" i="17"/>
  <c r="AA516" i="17" s="1"/>
  <c r="O477" i="17"/>
  <c r="AA477" i="17" s="1"/>
  <c r="O541" i="17"/>
  <c r="AA541" i="17" s="1"/>
  <c r="O582" i="17"/>
  <c r="AA582" i="17" s="1"/>
  <c r="O596" i="17"/>
  <c r="AA596" i="17" s="1"/>
  <c r="O609" i="17"/>
  <c r="AA609" i="17" s="1"/>
  <c r="P71" i="17"/>
  <c r="AB71" i="17" s="1"/>
  <c r="P70" i="17"/>
  <c r="AB70" i="17" s="1"/>
  <c r="O410" i="17"/>
  <c r="AA410" i="17" s="1"/>
  <c r="O442" i="17"/>
  <c r="AA442" i="17" s="1"/>
  <c r="O506" i="17"/>
  <c r="AA506" i="17" s="1"/>
  <c r="O467" i="17"/>
  <c r="AA467" i="17" s="1"/>
  <c r="O585" i="17"/>
  <c r="AA585" i="17" s="1"/>
  <c r="O599" i="17"/>
  <c r="AA599" i="17" s="1"/>
  <c r="P61" i="17"/>
  <c r="AB61" i="17" s="1"/>
  <c r="P60" i="17"/>
  <c r="AB60" i="17" s="1"/>
  <c r="O18" i="17"/>
  <c r="AA18" i="17" s="1"/>
  <c r="O145" i="17"/>
  <c r="AA145" i="17" s="1"/>
  <c r="O273" i="17"/>
  <c r="AA273" i="17" s="1"/>
  <c r="O68" i="17"/>
  <c r="AA68" i="17" s="1"/>
  <c r="O67" i="17"/>
  <c r="AA67" i="17" s="1"/>
  <c r="O163" i="17"/>
  <c r="AA163" i="17" s="1"/>
  <c r="O227" i="17"/>
  <c r="AA227" i="17" s="1"/>
  <c r="O291" i="17"/>
  <c r="AA291" i="17" s="1"/>
  <c r="O150" i="17"/>
  <c r="AA150" i="17" s="1"/>
  <c r="O182" i="17"/>
  <c r="AA182" i="17" s="1"/>
  <c r="O246" i="17"/>
  <c r="AA246" i="17" s="1"/>
  <c r="O310" i="17"/>
  <c r="AA310" i="17" s="1"/>
  <c r="O341" i="17"/>
  <c r="AA341" i="17" s="1"/>
  <c r="O405" i="17"/>
  <c r="AA405" i="17" s="1"/>
  <c r="O368" i="17"/>
  <c r="AA368" i="17" s="1"/>
  <c r="O464" i="17"/>
  <c r="AA464" i="17" s="1"/>
  <c r="O425" i="17"/>
  <c r="AA425" i="17" s="1"/>
  <c r="O489" i="17"/>
  <c r="AA489" i="17" s="1"/>
  <c r="O521" i="17"/>
  <c r="AA521" i="17" s="1"/>
  <c r="O530" i="17"/>
  <c r="AA530" i="17" s="1"/>
  <c r="O594" i="17"/>
  <c r="AA594" i="17" s="1"/>
  <c r="O608" i="17"/>
  <c r="AA608" i="17" s="1"/>
  <c r="P19" i="17"/>
  <c r="AB19" i="17" s="1"/>
  <c r="P83" i="17"/>
  <c r="AB83" i="17" s="1"/>
  <c r="P18" i="17"/>
  <c r="AB18" i="17" s="1"/>
  <c r="P82" i="17"/>
  <c r="AB82" i="17" s="1"/>
  <c r="P148" i="17"/>
  <c r="AB148" i="17" s="1"/>
  <c r="P128" i="17"/>
  <c r="AB128" i="17" s="1"/>
  <c r="P192" i="17"/>
  <c r="AB192" i="17" s="1"/>
  <c r="P256" i="17"/>
  <c r="AB256" i="17" s="1"/>
  <c r="P115" i="17"/>
  <c r="AB115" i="17" s="1"/>
  <c r="P179" i="17"/>
  <c r="AB179" i="17" s="1"/>
  <c r="P243" i="17"/>
  <c r="AB243" i="17" s="1"/>
  <c r="P307" i="17"/>
  <c r="AB307" i="17" s="1"/>
  <c r="P340" i="17"/>
  <c r="AB340" i="17" s="1"/>
  <c r="P404" i="17"/>
  <c r="AB404" i="17" s="1"/>
  <c r="P333" i="17"/>
  <c r="AB333" i="17" s="1"/>
  <c r="P397" i="17"/>
  <c r="AB397" i="17" s="1"/>
  <c r="P429" i="17"/>
  <c r="AB429" i="17" s="1"/>
  <c r="P493" i="17"/>
  <c r="AB493" i="17" s="1"/>
  <c r="P456" i="17"/>
  <c r="AB456" i="17" s="1"/>
  <c r="P518" i="17"/>
  <c r="AB518" i="17" s="1"/>
  <c r="P551" i="17"/>
  <c r="AB551" i="17" s="1"/>
  <c r="P572" i="17"/>
  <c r="AB572" i="17" s="1"/>
  <c r="P126" i="17"/>
  <c r="AB126" i="17" s="1"/>
  <c r="P190" i="17"/>
  <c r="AB190" i="17" s="1"/>
  <c r="P254" i="17"/>
  <c r="AB254" i="17" s="1"/>
  <c r="P113" i="17"/>
  <c r="AB113" i="17" s="1"/>
  <c r="P177" i="17"/>
  <c r="AB177" i="17" s="1"/>
  <c r="P241" i="17"/>
  <c r="AB241" i="17" s="1"/>
  <c r="P305" i="17"/>
  <c r="AB305" i="17" s="1"/>
  <c r="P338" i="17"/>
  <c r="AB338" i="17" s="1"/>
  <c r="P402" i="17"/>
  <c r="AB402" i="17" s="1"/>
  <c r="P331" i="17"/>
  <c r="AB331" i="17" s="1"/>
  <c r="P395" i="17"/>
  <c r="AB395" i="17" s="1"/>
  <c r="P427" i="17"/>
  <c r="AB427" i="17" s="1"/>
  <c r="P491" i="17"/>
  <c r="AB491" i="17" s="1"/>
  <c r="P454" i="17"/>
  <c r="AB454" i="17" s="1"/>
  <c r="P519" i="17"/>
  <c r="AB519" i="17" s="1"/>
  <c r="P581" i="17"/>
  <c r="AB581" i="17" s="1"/>
  <c r="P570" i="17"/>
  <c r="AB570" i="17" s="1"/>
  <c r="P212" i="17"/>
  <c r="AB212" i="17" s="1"/>
  <c r="P172" i="17"/>
  <c r="AB172" i="17" s="1"/>
  <c r="P152" i="17"/>
  <c r="AB152" i="17" s="1"/>
  <c r="P216" i="17"/>
  <c r="AB216" i="17" s="1"/>
  <c r="P280" i="17"/>
  <c r="AB280" i="17" s="1"/>
  <c r="P139" i="17"/>
  <c r="AB139" i="17" s="1"/>
  <c r="P203" i="17"/>
  <c r="AB203" i="17" s="1"/>
  <c r="P267" i="17"/>
  <c r="AB267" i="17" s="1"/>
  <c r="P364" i="17"/>
  <c r="AB364" i="17" s="1"/>
  <c r="P357" i="17"/>
  <c r="AB357" i="17" s="1"/>
  <c r="P453" i="17"/>
  <c r="AB453" i="17" s="1"/>
  <c r="P517" i="17"/>
  <c r="AB517" i="17" s="1"/>
  <c r="P480" i="17"/>
  <c r="AB480" i="17" s="1"/>
  <c r="P542" i="17"/>
  <c r="AB542" i="17" s="1"/>
  <c r="P575" i="17"/>
  <c r="AB575" i="17" s="1"/>
  <c r="P533" i="17"/>
  <c r="AB533" i="17" s="1"/>
  <c r="P595" i="17"/>
  <c r="AB595" i="17" s="1"/>
  <c r="P608" i="17"/>
  <c r="AB608" i="17" s="1"/>
  <c r="P150" i="17"/>
  <c r="AB150" i="17" s="1"/>
  <c r="P214" i="17"/>
  <c r="AB214" i="17" s="1"/>
  <c r="P278" i="17"/>
  <c r="AB278" i="17" s="1"/>
  <c r="P137" i="17"/>
  <c r="AB137" i="17" s="1"/>
  <c r="P201" i="17"/>
  <c r="AB201" i="17" s="1"/>
  <c r="P265" i="17"/>
  <c r="AB265" i="17" s="1"/>
  <c r="P362" i="17"/>
  <c r="AB362" i="17" s="1"/>
  <c r="P355" i="17"/>
  <c r="AB355" i="17" s="1"/>
  <c r="P451" i="17"/>
  <c r="AB451" i="17" s="1"/>
  <c r="P515" i="17"/>
  <c r="AB515" i="17" s="1"/>
  <c r="P478" i="17"/>
  <c r="AB478" i="17" s="1"/>
  <c r="P540" i="17"/>
  <c r="AB540" i="17" s="1"/>
  <c r="P531" i="17"/>
  <c r="AB531" i="17" s="1"/>
  <c r="P594" i="17"/>
  <c r="AB594" i="17" s="1"/>
  <c r="P606" i="17"/>
  <c r="AB606" i="17" s="1"/>
  <c r="P252" i="17"/>
  <c r="AB252" i="17" s="1"/>
  <c r="P164" i="17"/>
  <c r="AB164" i="17" s="1"/>
  <c r="P144" i="17"/>
  <c r="AB144" i="17" s="1"/>
  <c r="P208" i="17"/>
  <c r="AB208" i="17" s="1"/>
  <c r="P272" i="17"/>
  <c r="AB272" i="17" s="1"/>
  <c r="P131" i="17"/>
  <c r="AB131" i="17" s="1"/>
  <c r="P195" i="17"/>
  <c r="AB195" i="17" s="1"/>
  <c r="P259" i="17"/>
  <c r="AB259" i="17" s="1"/>
  <c r="P356" i="17"/>
  <c r="AB356" i="17" s="1"/>
  <c r="P349" i="17"/>
  <c r="AB349" i="17" s="1"/>
  <c r="P413" i="17"/>
  <c r="AB413" i="17" s="1"/>
  <c r="P445" i="17"/>
  <c r="AB445" i="17" s="1"/>
  <c r="P509" i="17"/>
  <c r="AB509" i="17" s="1"/>
  <c r="P472" i="17"/>
  <c r="AB472" i="17" s="1"/>
  <c r="P534" i="17"/>
  <c r="AB534" i="17" s="1"/>
  <c r="P567" i="17"/>
  <c r="AB567" i="17" s="1"/>
  <c r="P525" i="17"/>
  <c r="AB525" i="17" s="1"/>
  <c r="P588" i="17"/>
  <c r="AB588" i="17" s="1"/>
  <c r="P600" i="17"/>
  <c r="AB600" i="17" s="1"/>
  <c r="P142" i="17"/>
  <c r="AB142" i="17" s="1"/>
  <c r="P206" i="17"/>
  <c r="AB206" i="17" s="1"/>
  <c r="P270" i="17"/>
  <c r="AB270" i="17" s="1"/>
  <c r="P129" i="17"/>
  <c r="AB129" i="17" s="1"/>
  <c r="P193" i="17"/>
  <c r="AB193" i="17" s="1"/>
  <c r="P257" i="17"/>
  <c r="AB257" i="17" s="1"/>
  <c r="P354" i="17"/>
  <c r="AB354" i="17" s="1"/>
  <c r="P347" i="17"/>
  <c r="AB347" i="17" s="1"/>
  <c r="P411" i="17"/>
  <c r="AB411" i="17" s="1"/>
  <c r="P443" i="17"/>
  <c r="AB443" i="17" s="1"/>
  <c r="P507" i="17"/>
  <c r="AB507" i="17" s="1"/>
  <c r="P470" i="17"/>
  <c r="AB470" i="17" s="1"/>
  <c r="P532" i="17"/>
  <c r="AB532" i="17" s="1"/>
  <c r="P523" i="17"/>
  <c r="AB523" i="17" s="1"/>
  <c r="P586" i="17"/>
  <c r="AB586" i="17" s="1"/>
  <c r="P598" i="17"/>
  <c r="AB598" i="17" s="1"/>
  <c r="P228" i="17"/>
  <c r="AB228" i="17" s="1"/>
  <c r="P104" i="17"/>
  <c r="AB104" i="17" s="1"/>
  <c r="P168" i="17"/>
  <c r="AB168" i="17" s="1"/>
  <c r="P232" i="17"/>
  <c r="AB232" i="17" s="1"/>
  <c r="P296" i="17"/>
  <c r="AB296" i="17" s="1"/>
  <c r="P155" i="17"/>
  <c r="AB155" i="17" s="1"/>
  <c r="P219" i="17"/>
  <c r="AB219" i="17" s="1"/>
  <c r="P283" i="17"/>
  <c r="AB283" i="17" s="1"/>
  <c r="P316" i="17"/>
  <c r="AB316" i="17" s="1"/>
  <c r="P380" i="17"/>
  <c r="AB380" i="17" s="1"/>
  <c r="P373" i="17"/>
  <c r="AB373" i="17" s="1"/>
  <c r="P469" i="17"/>
  <c r="AB469" i="17" s="1"/>
  <c r="P432" i="17"/>
  <c r="AB432" i="17" s="1"/>
  <c r="P496" i="17"/>
  <c r="AB496" i="17" s="1"/>
  <c r="P591" i="17"/>
  <c r="AB591" i="17" s="1"/>
  <c r="P548" i="17"/>
  <c r="AB548" i="17" s="1"/>
  <c r="P611" i="17"/>
  <c r="AB611" i="17" s="1"/>
  <c r="P102" i="17"/>
  <c r="AB102" i="17" s="1"/>
  <c r="P166" i="17"/>
  <c r="AB166" i="17" s="1"/>
  <c r="P230" i="17"/>
  <c r="AB230" i="17" s="1"/>
  <c r="P294" i="17"/>
  <c r="AB294" i="17" s="1"/>
  <c r="P153" i="17"/>
  <c r="AB153" i="17" s="1"/>
  <c r="P217" i="17"/>
  <c r="AB217" i="17" s="1"/>
  <c r="P281" i="17"/>
  <c r="AB281" i="17" s="1"/>
  <c r="P378" i="17"/>
  <c r="AB378" i="17" s="1"/>
  <c r="P371" i="17"/>
  <c r="AB371" i="17" s="1"/>
  <c r="P467" i="17"/>
  <c r="AB467" i="17" s="1"/>
  <c r="P430" i="17"/>
  <c r="AB430" i="17" s="1"/>
  <c r="P494" i="17"/>
  <c r="AB494" i="17" s="1"/>
  <c r="P557" i="17"/>
  <c r="AB557" i="17" s="1"/>
  <c r="P546" i="17"/>
  <c r="AB546" i="17" s="1"/>
  <c r="P609" i="17"/>
  <c r="AB609" i="17" s="1"/>
  <c r="P188" i="17"/>
  <c r="AB188" i="17" s="1"/>
  <c r="P268" i="17"/>
  <c r="AB268" i="17" s="1"/>
  <c r="P127" i="17"/>
  <c r="AB127" i="17" s="1"/>
  <c r="P191" i="17"/>
  <c r="AB191" i="17" s="1"/>
  <c r="P255" i="17"/>
  <c r="AB255" i="17" s="1"/>
  <c r="P352" i="17"/>
  <c r="AB352" i="17" s="1"/>
  <c r="P416" i="17"/>
  <c r="AB416" i="17" s="1"/>
  <c r="P345" i="17"/>
  <c r="AB345" i="17" s="1"/>
  <c r="P409" i="17"/>
  <c r="AB409" i="17" s="1"/>
  <c r="P441" i="17"/>
  <c r="AB441" i="17" s="1"/>
  <c r="P505" i="17"/>
  <c r="AB505" i="17" s="1"/>
  <c r="P436" i="17"/>
  <c r="AB436" i="17" s="1"/>
  <c r="P500" i="17"/>
  <c r="AB500" i="17" s="1"/>
  <c r="P552" i="17"/>
  <c r="AB552" i="17" s="1"/>
  <c r="P106" i="17"/>
  <c r="AB106" i="17" s="1"/>
  <c r="P170" i="17"/>
  <c r="AB170" i="17" s="1"/>
  <c r="P234" i="17"/>
  <c r="AB234" i="17" s="1"/>
  <c r="P298" i="17"/>
  <c r="AB298" i="17" s="1"/>
  <c r="P157" i="17"/>
  <c r="AB157" i="17" s="1"/>
  <c r="P221" i="17"/>
  <c r="AB221" i="17" s="1"/>
  <c r="P285" i="17"/>
  <c r="AB285" i="17" s="1"/>
  <c r="P318" i="17"/>
  <c r="AB318" i="17" s="1"/>
  <c r="P382" i="17"/>
  <c r="AB382" i="17" s="1"/>
  <c r="P375" i="17"/>
  <c r="AB375" i="17" s="1"/>
  <c r="P471" i="17"/>
  <c r="AB471" i="17" s="1"/>
  <c r="P434" i="17"/>
  <c r="AB434" i="17" s="1"/>
  <c r="P498" i="17"/>
  <c r="AB498" i="17" s="1"/>
  <c r="P561" i="17"/>
  <c r="AB561" i="17" s="1"/>
  <c r="P550" i="17"/>
  <c r="AB550" i="17" s="1"/>
  <c r="P613" i="17"/>
  <c r="AB613" i="17" s="1"/>
  <c r="P207" i="17"/>
  <c r="AB207" i="17" s="1"/>
  <c r="P368" i="17"/>
  <c r="AB368" i="17" s="1"/>
  <c r="P457" i="17"/>
  <c r="AB457" i="17" s="1"/>
  <c r="P516" i="17"/>
  <c r="AB516" i="17" s="1"/>
  <c r="P547" i="17"/>
  <c r="AB547" i="17" s="1"/>
  <c r="P122" i="17"/>
  <c r="AB122" i="17" s="1"/>
  <c r="P186" i="17"/>
  <c r="AB186" i="17" s="1"/>
  <c r="P250" i="17"/>
  <c r="AB250" i="17" s="1"/>
  <c r="P314" i="17"/>
  <c r="AB314" i="17" s="1"/>
  <c r="P173" i="17"/>
  <c r="AB173" i="17" s="1"/>
  <c r="P237" i="17"/>
  <c r="AB237" i="17" s="1"/>
  <c r="P301" i="17"/>
  <c r="AB301" i="17" s="1"/>
  <c r="P334" i="17"/>
  <c r="AB334" i="17" s="1"/>
  <c r="P359" i="17"/>
  <c r="AB359" i="17" s="1"/>
  <c r="P487" i="17"/>
  <c r="AB487" i="17" s="1"/>
  <c r="P514" i="17"/>
  <c r="AB514" i="17" s="1"/>
  <c r="P566" i="17"/>
  <c r="AB566" i="17" s="1"/>
  <c r="P610" i="17"/>
  <c r="AB610" i="17" s="1"/>
  <c r="P244" i="17"/>
  <c r="AB244" i="17" s="1"/>
  <c r="P140" i="17"/>
  <c r="AB140" i="17" s="1"/>
  <c r="P120" i="17"/>
  <c r="AB120" i="17" s="1"/>
  <c r="P184" i="17"/>
  <c r="AB184" i="17" s="1"/>
  <c r="P248" i="17"/>
  <c r="AB248" i="17" s="1"/>
  <c r="P312" i="17"/>
  <c r="AB312" i="17" s="1"/>
  <c r="P171" i="17"/>
  <c r="AB171" i="17" s="1"/>
  <c r="P235" i="17"/>
  <c r="AB235" i="17" s="1"/>
  <c r="P299" i="17"/>
  <c r="AB299" i="17" s="1"/>
  <c r="P332" i="17"/>
  <c r="AB332" i="17" s="1"/>
  <c r="P396" i="17"/>
  <c r="AB396" i="17" s="1"/>
  <c r="P325" i="17"/>
  <c r="AB325" i="17" s="1"/>
  <c r="P389" i="17"/>
  <c r="AB389" i="17" s="1"/>
  <c r="P421" i="17"/>
  <c r="AB421" i="17" s="1"/>
  <c r="P485" i="17"/>
  <c r="AB485" i="17" s="1"/>
  <c r="P448" i="17"/>
  <c r="AB448" i="17" s="1"/>
  <c r="P512" i="17"/>
  <c r="AB512" i="17" s="1"/>
  <c r="P564" i="17"/>
  <c r="AB564" i="17" s="1"/>
  <c r="P118" i="17"/>
  <c r="AB118" i="17" s="1"/>
  <c r="P182" i="17"/>
  <c r="AB182" i="17" s="1"/>
  <c r="P246" i="17"/>
  <c r="AB246" i="17" s="1"/>
  <c r="P310" i="17"/>
  <c r="AB310" i="17" s="1"/>
  <c r="P169" i="17"/>
  <c r="AB169" i="17" s="1"/>
  <c r="P233" i="17"/>
  <c r="AB233" i="17" s="1"/>
  <c r="P297" i="17"/>
  <c r="AB297" i="17" s="1"/>
  <c r="P330" i="17"/>
  <c r="AB330" i="17" s="1"/>
  <c r="P394" i="17"/>
  <c r="AB394" i="17" s="1"/>
  <c r="P323" i="17"/>
  <c r="AB323" i="17" s="1"/>
  <c r="P387" i="17"/>
  <c r="AB387" i="17" s="1"/>
  <c r="P419" i="17"/>
  <c r="AB419" i="17" s="1"/>
  <c r="P483" i="17"/>
  <c r="AB483" i="17" s="1"/>
  <c r="P446" i="17"/>
  <c r="AB446" i="17" s="1"/>
  <c r="P510" i="17"/>
  <c r="AB510" i="17" s="1"/>
  <c r="P562" i="17"/>
  <c r="AB562" i="17" s="1"/>
  <c r="P204" i="17"/>
  <c r="AB204" i="17" s="1"/>
  <c r="P284" i="17"/>
  <c r="AB284" i="17" s="1"/>
  <c r="P112" i="17"/>
  <c r="AB112" i="17" s="1"/>
  <c r="P176" i="17"/>
  <c r="AB176" i="17" s="1"/>
  <c r="P240" i="17"/>
  <c r="AB240" i="17" s="1"/>
  <c r="P304" i="17"/>
  <c r="AB304" i="17" s="1"/>
  <c r="P163" i="17"/>
  <c r="AB163" i="17" s="1"/>
  <c r="P227" i="17"/>
  <c r="AB227" i="17" s="1"/>
  <c r="P291" i="17"/>
  <c r="AB291" i="17" s="1"/>
  <c r="P324" i="17"/>
  <c r="AB324" i="17" s="1"/>
  <c r="P388" i="17"/>
  <c r="AB388" i="17" s="1"/>
  <c r="P317" i="17"/>
  <c r="AB317" i="17" s="1"/>
  <c r="P381" i="17"/>
  <c r="AB381" i="17" s="1"/>
  <c r="P477" i="17"/>
  <c r="AB477" i="17" s="1"/>
  <c r="P440" i="17"/>
  <c r="AB440" i="17" s="1"/>
  <c r="P504" i="17"/>
  <c r="AB504" i="17" s="1"/>
  <c r="P556" i="17"/>
  <c r="AB556" i="17" s="1"/>
  <c r="P110" i="17"/>
  <c r="AB110" i="17" s="1"/>
  <c r="P174" i="17"/>
  <c r="AB174" i="17" s="1"/>
  <c r="P238" i="17"/>
  <c r="AB238" i="17" s="1"/>
  <c r="P302" i="17"/>
  <c r="AB302" i="17" s="1"/>
  <c r="P161" i="17"/>
  <c r="AB161" i="17" s="1"/>
  <c r="P225" i="17"/>
  <c r="AB225" i="17" s="1"/>
  <c r="P289" i="17"/>
  <c r="AB289" i="17" s="1"/>
  <c r="P322" i="17"/>
  <c r="AB322" i="17" s="1"/>
  <c r="P386" i="17"/>
  <c r="AB386" i="17" s="1"/>
  <c r="P315" i="17"/>
  <c r="AB315" i="17" s="1"/>
  <c r="P379" i="17"/>
  <c r="AB379" i="17" s="1"/>
  <c r="P475" i="17"/>
  <c r="AB475" i="17" s="1"/>
  <c r="P438" i="17"/>
  <c r="AB438" i="17" s="1"/>
  <c r="P502" i="17"/>
  <c r="AB502" i="17" s="1"/>
  <c r="P565" i="17"/>
  <c r="AB565" i="17" s="1"/>
  <c r="P554" i="17"/>
  <c r="AB554" i="17" s="1"/>
  <c r="P196" i="17"/>
  <c r="AB196" i="17" s="1"/>
  <c r="P260" i="17"/>
  <c r="AB260" i="17" s="1"/>
  <c r="P156" i="17"/>
  <c r="AB156" i="17" s="1"/>
  <c r="P136" i="17"/>
  <c r="AB136" i="17" s="1"/>
  <c r="P200" i="17"/>
  <c r="AB200" i="17" s="1"/>
  <c r="P264" i="17"/>
  <c r="AB264" i="17" s="1"/>
  <c r="P123" i="17"/>
  <c r="AB123" i="17" s="1"/>
  <c r="P187" i="17"/>
  <c r="AB187" i="17" s="1"/>
  <c r="P251" i="17"/>
  <c r="AB251" i="17" s="1"/>
  <c r="P348" i="17"/>
  <c r="AB348" i="17" s="1"/>
  <c r="P412" i="17"/>
  <c r="AB412" i="17" s="1"/>
  <c r="P341" i="17"/>
  <c r="AB341" i="17" s="1"/>
  <c r="P405" i="17"/>
  <c r="AB405" i="17" s="1"/>
  <c r="P437" i="17"/>
  <c r="AB437" i="17" s="1"/>
  <c r="P501" i="17"/>
  <c r="AB501" i="17" s="1"/>
  <c r="P464" i="17"/>
  <c r="AB464" i="17" s="1"/>
  <c r="P526" i="17"/>
  <c r="AB526" i="17" s="1"/>
  <c r="P559" i="17"/>
  <c r="AB559" i="17" s="1"/>
  <c r="P580" i="17"/>
  <c r="AB580" i="17" s="1"/>
  <c r="P134" i="17"/>
  <c r="AB134" i="17" s="1"/>
  <c r="P198" i="17"/>
  <c r="AB198" i="17" s="1"/>
  <c r="P262" i="17"/>
  <c r="AB262" i="17" s="1"/>
  <c r="P121" i="17"/>
  <c r="AB121" i="17" s="1"/>
  <c r="P185" i="17"/>
  <c r="AB185" i="17" s="1"/>
  <c r="P249" i="17"/>
  <c r="AB249" i="17" s="1"/>
  <c r="P313" i="17"/>
  <c r="AB313" i="17" s="1"/>
  <c r="P346" i="17"/>
  <c r="AB346" i="17" s="1"/>
  <c r="P410" i="17"/>
  <c r="AB410" i="17" s="1"/>
  <c r="P339" i="17"/>
  <c r="AB339" i="17" s="1"/>
  <c r="P403" i="17"/>
  <c r="AB403" i="17" s="1"/>
  <c r="P435" i="17"/>
  <c r="AB435" i="17" s="1"/>
  <c r="P499" i="17"/>
  <c r="AB499" i="17" s="1"/>
  <c r="P462" i="17"/>
  <c r="AB462" i="17" s="1"/>
  <c r="P524" i="17"/>
  <c r="AB524" i="17" s="1"/>
  <c r="P589" i="17"/>
  <c r="AB589" i="17" s="1"/>
  <c r="P578" i="17"/>
  <c r="AB578" i="17" s="1"/>
  <c r="P220" i="17"/>
  <c r="AB220" i="17" s="1"/>
  <c r="P300" i="17"/>
  <c r="AB300" i="17" s="1"/>
  <c r="P159" i="17"/>
  <c r="AB159" i="17" s="1"/>
  <c r="P223" i="17"/>
  <c r="AB223" i="17" s="1"/>
  <c r="P287" i="17"/>
  <c r="AB287" i="17" s="1"/>
  <c r="P320" i="17"/>
  <c r="AB320" i="17" s="1"/>
  <c r="P384" i="17"/>
  <c r="AB384" i="17" s="1"/>
  <c r="P377" i="17"/>
  <c r="AB377" i="17" s="1"/>
  <c r="P473" i="17"/>
  <c r="AB473" i="17" s="1"/>
  <c r="P468" i="17"/>
  <c r="AB468" i="17" s="1"/>
  <c r="P530" i="17"/>
  <c r="AB530" i="17" s="1"/>
  <c r="P563" i="17"/>
  <c r="AB563" i="17" s="1"/>
  <c r="P521" i="17"/>
  <c r="AB521" i="17" s="1"/>
  <c r="P584" i="17"/>
  <c r="AB584" i="17" s="1"/>
  <c r="P596" i="17"/>
  <c r="AB596" i="17" s="1"/>
  <c r="P138" i="17"/>
  <c r="AB138" i="17" s="1"/>
  <c r="P202" i="17"/>
  <c r="AB202" i="17" s="1"/>
  <c r="P266" i="17"/>
  <c r="AB266" i="17" s="1"/>
  <c r="P125" i="17"/>
  <c r="AB125" i="17" s="1"/>
  <c r="P189" i="17"/>
  <c r="AB189" i="17" s="1"/>
  <c r="P253" i="17"/>
  <c r="AB253" i="17" s="1"/>
  <c r="P350" i="17"/>
  <c r="AB350" i="17" s="1"/>
  <c r="P414" i="17"/>
  <c r="AB414" i="17" s="1"/>
  <c r="P343" i="17"/>
  <c r="AB343" i="17" s="1"/>
  <c r="P407" i="17"/>
  <c r="AB407" i="17" s="1"/>
  <c r="P439" i="17"/>
  <c r="AB439" i="17" s="1"/>
  <c r="P503" i="17"/>
  <c r="AB503" i="17" s="1"/>
  <c r="P466" i="17"/>
  <c r="AB466" i="17" s="1"/>
  <c r="P528" i="17"/>
  <c r="AB528" i="17" s="1"/>
  <c r="P593" i="17"/>
  <c r="AB593" i="17" s="1"/>
  <c r="P582" i="17"/>
  <c r="AB582" i="17" s="1"/>
  <c r="P143" i="17"/>
  <c r="AB143" i="17" s="1"/>
  <c r="P271" i="17"/>
  <c r="AB271" i="17" s="1"/>
  <c r="P336" i="17"/>
  <c r="AB336" i="17" s="1"/>
  <c r="P400" i="17"/>
  <c r="AB400" i="17" s="1"/>
  <c r="P361" i="17"/>
  <c r="AB361" i="17" s="1"/>
  <c r="P425" i="17"/>
  <c r="AB425" i="17" s="1"/>
  <c r="P489" i="17"/>
  <c r="AB489" i="17" s="1"/>
  <c r="P452" i="17"/>
  <c r="AB452" i="17" s="1"/>
  <c r="P579" i="17"/>
  <c r="AB579" i="17" s="1"/>
  <c r="P568" i="17"/>
  <c r="AB568" i="17" s="1"/>
  <c r="P612" i="17"/>
  <c r="AB612" i="17" s="1"/>
  <c r="P154" i="17"/>
  <c r="AB154" i="17" s="1"/>
  <c r="P218" i="17"/>
  <c r="AB218" i="17" s="1"/>
  <c r="P282" i="17"/>
  <c r="AB282" i="17" s="1"/>
  <c r="P141" i="17"/>
  <c r="AB141" i="17" s="1"/>
  <c r="P205" i="17"/>
  <c r="AB205" i="17" s="1"/>
  <c r="P269" i="17"/>
  <c r="AB269" i="17" s="1"/>
  <c r="P398" i="17"/>
  <c r="AB398" i="17" s="1"/>
  <c r="P327" i="17"/>
  <c r="AB327" i="17" s="1"/>
  <c r="P391" i="17"/>
  <c r="AB391" i="17" s="1"/>
  <c r="P423" i="17"/>
  <c r="AB423" i="17" s="1"/>
  <c r="P450" i="17"/>
  <c r="AB450" i="17" s="1"/>
  <c r="P577" i="17"/>
  <c r="AB577" i="17" s="1"/>
  <c r="P276" i="17"/>
  <c r="AB276" i="17" s="1"/>
  <c r="P135" i="17"/>
  <c r="AB135" i="17" s="1"/>
  <c r="P199" i="17"/>
  <c r="AB199" i="17" s="1"/>
  <c r="P263" i="17"/>
  <c r="AB263" i="17" s="1"/>
  <c r="P360" i="17"/>
  <c r="AB360" i="17" s="1"/>
  <c r="P111" i="17"/>
  <c r="AB111" i="17" s="1"/>
  <c r="P239" i="17"/>
  <c r="AB239" i="17" s="1"/>
  <c r="P329" i="17"/>
  <c r="AB329" i="17" s="1"/>
  <c r="P420" i="17"/>
  <c r="AB420" i="17" s="1"/>
  <c r="P537" i="17"/>
  <c r="AB537" i="17" s="1"/>
  <c r="P366" i="17"/>
  <c r="AB366" i="17" s="1"/>
  <c r="P418" i="17"/>
  <c r="AB418" i="17" s="1"/>
  <c r="P545" i="17"/>
  <c r="AB545" i="17" s="1"/>
  <c r="P597" i="17"/>
  <c r="AB597" i="17" s="1"/>
  <c r="P292" i="17"/>
  <c r="AB292" i="17" s="1"/>
  <c r="P151" i="17"/>
  <c r="AB151" i="17" s="1"/>
  <c r="P215" i="17"/>
  <c r="AB215" i="17" s="1"/>
  <c r="P279" i="17"/>
  <c r="AB279" i="17" s="1"/>
  <c r="P376" i="17"/>
  <c r="AB376" i="17" s="1"/>
  <c r="P369" i="17"/>
  <c r="AB369" i="17" s="1"/>
  <c r="P465" i="17"/>
  <c r="AB465" i="17" s="1"/>
  <c r="P460" i="17"/>
  <c r="AB460" i="17" s="1"/>
  <c r="P353" i="17"/>
  <c r="AB353" i="17" s="1"/>
  <c r="P417" i="17"/>
  <c r="AB417" i="17" s="1"/>
  <c r="P481" i="17"/>
  <c r="AB481" i="17" s="1"/>
  <c r="P508" i="17"/>
  <c r="AB508" i="17" s="1"/>
  <c r="P560" i="17"/>
  <c r="AB560" i="17" s="1"/>
  <c r="P114" i="17"/>
  <c r="AB114" i="17" s="1"/>
  <c r="P178" i="17"/>
  <c r="AB178" i="17" s="1"/>
  <c r="P242" i="17"/>
  <c r="AB242" i="17" s="1"/>
  <c r="P306" i="17"/>
  <c r="AB306" i="17" s="1"/>
  <c r="P165" i="17"/>
  <c r="AB165" i="17" s="1"/>
  <c r="P229" i="17"/>
  <c r="AB229" i="17" s="1"/>
  <c r="P293" i="17"/>
  <c r="AB293" i="17" s="1"/>
  <c r="P326" i="17"/>
  <c r="AB326" i="17" s="1"/>
  <c r="P390" i="17"/>
  <c r="AB390" i="17" s="1"/>
  <c r="P319" i="17"/>
  <c r="AB319" i="17" s="1"/>
  <c r="P383" i="17"/>
  <c r="AB383" i="17" s="1"/>
  <c r="P479" i="17"/>
  <c r="AB479" i="17" s="1"/>
  <c r="P442" i="17"/>
  <c r="AB442" i="17" s="1"/>
  <c r="P506" i="17"/>
  <c r="AB506" i="17" s="1"/>
  <c r="P569" i="17"/>
  <c r="AB569" i="17" s="1"/>
  <c r="P558" i="17"/>
  <c r="AB558" i="17" s="1"/>
  <c r="P308" i="17"/>
  <c r="AB308" i="17" s="1"/>
  <c r="P167" i="17"/>
  <c r="AB167" i="17" s="1"/>
  <c r="P231" i="17"/>
  <c r="AB231" i="17" s="1"/>
  <c r="P295" i="17"/>
  <c r="AB295" i="17" s="1"/>
  <c r="P328" i="17"/>
  <c r="AB328" i="17" s="1"/>
  <c r="P392" i="17"/>
  <c r="AB392" i="17" s="1"/>
  <c r="P321" i="17"/>
  <c r="AB321" i="17" s="1"/>
  <c r="P175" i="17"/>
  <c r="AB175" i="17" s="1"/>
  <c r="P303" i="17"/>
  <c r="AB303" i="17" s="1"/>
  <c r="P393" i="17"/>
  <c r="AB393" i="17" s="1"/>
  <c r="P484" i="17"/>
  <c r="AB484" i="17" s="1"/>
  <c r="P599" i="17"/>
  <c r="AB599" i="17" s="1"/>
  <c r="P455" i="17"/>
  <c r="AB455" i="17" s="1"/>
  <c r="P482" i="17"/>
  <c r="AB482" i="17" s="1"/>
  <c r="P535" i="17"/>
  <c r="AB535" i="17" s="1"/>
  <c r="P236" i="17"/>
  <c r="AB236" i="17" s="1"/>
  <c r="P119" i="17"/>
  <c r="AB119" i="17" s="1"/>
  <c r="P183" i="17"/>
  <c r="AB183" i="17" s="1"/>
  <c r="P247" i="17"/>
  <c r="AB247" i="17" s="1"/>
  <c r="P311" i="17"/>
  <c r="AB311" i="17" s="1"/>
  <c r="P344" i="17"/>
  <c r="AB344" i="17" s="1"/>
  <c r="P408" i="17"/>
  <c r="AB408" i="17" s="1"/>
  <c r="P337" i="17"/>
  <c r="AB337" i="17" s="1"/>
  <c r="P401" i="17"/>
  <c r="AB401" i="17" s="1"/>
  <c r="P433" i="17"/>
  <c r="AB433" i="17" s="1"/>
  <c r="P497" i="17"/>
  <c r="AB497" i="17" s="1"/>
  <c r="P428" i="17"/>
  <c r="AB428" i="17" s="1"/>
  <c r="P492" i="17"/>
  <c r="AB492" i="17" s="1"/>
  <c r="P449" i="17"/>
  <c r="AB449" i="17" s="1"/>
  <c r="P513" i="17"/>
  <c r="AB513" i="17" s="1"/>
  <c r="P444" i="17"/>
  <c r="AB444" i="17" s="1"/>
  <c r="P538" i="17"/>
  <c r="AB538" i="17" s="1"/>
  <c r="P571" i="17"/>
  <c r="AB571" i="17" s="1"/>
  <c r="P529" i="17"/>
  <c r="AB529" i="17" s="1"/>
  <c r="P592" i="17"/>
  <c r="AB592" i="17" s="1"/>
  <c r="P604" i="17"/>
  <c r="AB604" i="17" s="1"/>
  <c r="P146" i="17"/>
  <c r="AB146" i="17" s="1"/>
  <c r="P210" i="17"/>
  <c r="AB210" i="17" s="1"/>
  <c r="P274" i="17"/>
  <c r="AB274" i="17" s="1"/>
  <c r="P133" i="17"/>
  <c r="AB133" i="17" s="1"/>
  <c r="P197" i="17"/>
  <c r="AB197" i="17" s="1"/>
  <c r="P261" i="17"/>
  <c r="AB261" i="17" s="1"/>
  <c r="P358" i="17"/>
  <c r="AB358" i="17" s="1"/>
  <c r="P351" i="17"/>
  <c r="AB351" i="17" s="1"/>
  <c r="P415" i="17"/>
  <c r="AB415" i="17" s="1"/>
  <c r="P447" i="17"/>
  <c r="AB447" i="17" s="1"/>
  <c r="P511" i="17"/>
  <c r="AB511" i="17" s="1"/>
  <c r="P474" i="17"/>
  <c r="AB474" i="17" s="1"/>
  <c r="P536" i="17"/>
  <c r="AB536" i="17" s="1"/>
  <c r="P527" i="17"/>
  <c r="AB527" i="17" s="1"/>
  <c r="P590" i="17"/>
  <c r="AB590" i="17" s="1"/>
  <c r="P602" i="17"/>
  <c r="AB602" i="17" s="1"/>
  <c r="P476" i="17"/>
  <c r="AB476" i="17" s="1"/>
  <c r="P587" i="17"/>
  <c r="AB587" i="17" s="1"/>
  <c r="P544" i="17"/>
  <c r="AB544" i="17" s="1"/>
  <c r="P607" i="17"/>
  <c r="AB607" i="17" s="1"/>
  <c r="P98" i="17"/>
  <c r="AB98" i="17" s="1"/>
  <c r="P162" i="17"/>
  <c r="AB162" i="17" s="1"/>
  <c r="P226" i="17"/>
  <c r="AB226" i="17" s="1"/>
  <c r="P290" i="17"/>
  <c r="AB290" i="17" s="1"/>
  <c r="P149" i="17"/>
  <c r="AB149" i="17" s="1"/>
  <c r="P213" i="17"/>
  <c r="AB213" i="17" s="1"/>
  <c r="P277" i="17"/>
  <c r="AB277" i="17" s="1"/>
  <c r="P374" i="17"/>
  <c r="AB374" i="17" s="1"/>
  <c r="P367" i="17"/>
  <c r="AB367" i="17" s="1"/>
  <c r="P463" i="17"/>
  <c r="AB463" i="17" s="1"/>
  <c r="P426" i="17"/>
  <c r="AB426" i="17" s="1"/>
  <c r="P490" i="17"/>
  <c r="AB490" i="17" s="1"/>
  <c r="P553" i="17"/>
  <c r="AB553" i="17" s="1"/>
  <c r="P543" i="17"/>
  <c r="AB543" i="17" s="1"/>
  <c r="P605" i="17"/>
  <c r="AB605" i="17" s="1"/>
  <c r="P385" i="17"/>
  <c r="AB385" i="17" s="1"/>
  <c r="P522" i="17"/>
  <c r="AB522" i="17" s="1"/>
  <c r="P555" i="17"/>
  <c r="AB555" i="17" s="1"/>
  <c r="P576" i="17"/>
  <c r="AB576" i="17" s="1"/>
  <c r="P130" i="17"/>
  <c r="AB130" i="17" s="1"/>
  <c r="P194" i="17"/>
  <c r="AB194" i="17" s="1"/>
  <c r="P258" i="17"/>
  <c r="AB258" i="17" s="1"/>
  <c r="P117" i="17"/>
  <c r="AB117" i="17" s="1"/>
  <c r="P181" i="17"/>
  <c r="AB181" i="17" s="1"/>
  <c r="P245" i="17"/>
  <c r="AB245" i="17" s="1"/>
  <c r="P309" i="17"/>
  <c r="AB309" i="17" s="1"/>
  <c r="P342" i="17"/>
  <c r="AB342" i="17" s="1"/>
  <c r="P406" i="17"/>
  <c r="AB406" i="17" s="1"/>
  <c r="P335" i="17"/>
  <c r="AB335" i="17" s="1"/>
  <c r="P399" i="17"/>
  <c r="AB399" i="17" s="1"/>
  <c r="P431" i="17"/>
  <c r="AB431" i="17" s="1"/>
  <c r="P495" i="17"/>
  <c r="AB495" i="17" s="1"/>
  <c r="P458" i="17"/>
  <c r="AB458" i="17" s="1"/>
  <c r="P520" i="17"/>
  <c r="AB520" i="17" s="1"/>
  <c r="P585" i="17"/>
  <c r="AB585" i="17" s="1"/>
  <c r="P574" i="17"/>
  <c r="AB574" i="17" s="1"/>
  <c r="O13" i="17"/>
  <c r="AA13" i="17" s="1"/>
  <c r="E633" i="17"/>
  <c r="AB628" i="17" l="1"/>
  <c r="A423" i="2"/>
  <c r="B423" i="2"/>
  <c r="C64" i="16"/>
  <c r="D64" i="16" s="1"/>
  <c r="B322" i="2"/>
  <c r="B79" i="1" l="1"/>
  <c r="AA628" i="17"/>
  <c r="E637" i="17" s="1"/>
  <c r="A441" i="2"/>
  <c r="B441" i="2"/>
  <c r="D52" i="16" l="1"/>
  <c r="C3" i="8" l="1"/>
  <c r="C159" i="8" s="1"/>
  <c r="C158" i="8" s="1"/>
  <c r="C157" i="8" s="1"/>
  <c r="C156" i="8" s="1"/>
  <c r="C155" i="8" s="1"/>
  <c r="C154" i="8" s="1"/>
  <c r="C153" i="8" s="1"/>
  <c r="C152" i="8" s="1"/>
  <c r="C151" i="8" s="1"/>
  <c r="C150" i="8" s="1"/>
  <c r="C149" i="8" s="1"/>
  <c r="C148" i="8" s="1"/>
  <c r="C147" i="8" s="1"/>
  <c r="C146" i="8" s="1"/>
  <c r="C145" i="8" s="1"/>
  <c r="C144" i="8" s="1"/>
  <c r="C143" i="8" s="1"/>
  <c r="C142" i="8" s="1"/>
  <c r="C141" i="8" s="1"/>
  <c r="C140" i="8" s="1"/>
  <c r="C139" i="8" s="1"/>
  <c r="C138" i="8" s="1"/>
  <c r="C137" i="8" s="1"/>
  <c r="C136" i="8" s="1"/>
  <c r="C135" i="8" s="1"/>
  <c r="C134" i="8" s="1"/>
  <c r="C133" i="8" s="1"/>
  <c r="C132" i="8" s="1"/>
  <c r="C131" i="8" s="1"/>
  <c r="C130" i="8" s="1"/>
  <c r="C129" i="8" s="1"/>
  <c r="C128" i="8" s="1"/>
  <c r="C127" i="8" s="1"/>
  <c r="C126" i="8" s="1"/>
  <c r="C125" i="8" s="1"/>
  <c r="C124" i="8" s="1"/>
  <c r="C123" i="8" s="1"/>
  <c r="C122" i="8" s="1"/>
  <c r="C121" i="8" s="1"/>
  <c r="C120" i="8" s="1"/>
  <c r="C119" i="8" s="1"/>
  <c r="C118" i="8" s="1"/>
  <c r="C117" i="8" s="1"/>
  <c r="C116" i="8" s="1"/>
  <c r="C115" i="8" s="1"/>
  <c r="C114" i="8" s="1"/>
  <c r="C113" i="8" s="1"/>
  <c r="C112" i="8" s="1"/>
  <c r="C111" i="8" s="1"/>
  <c r="C110" i="8" s="1"/>
  <c r="C109" i="8" s="1"/>
  <c r="C108" i="8" s="1"/>
  <c r="C107" i="8" s="1"/>
  <c r="C106" i="8" s="1"/>
  <c r="C105" i="8" s="1"/>
  <c r="C104" i="8" s="1"/>
  <c r="C103" i="8" s="1"/>
  <c r="C102" i="8" s="1"/>
  <c r="C101" i="8" s="1"/>
  <c r="C100" i="8" s="1"/>
  <c r="C99" i="8" s="1"/>
  <c r="C98" i="8" s="1"/>
  <c r="C97" i="8" s="1"/>
  <c r="C96" i="8" s="1"/>
  <c r="C95" i="8" s="1"/>
  <c r="C94" i="8" s="1"/>
  <c r="C93" i="8" s="1"/>
  <c r="C92" i="8" s="1"/>
  <c r="C91" i="8" s="1"/>
  <c r="C90" i="8" s="1"/>
  <c r="C89" i="8" s="1"/>
  <c r="C88" i="8" s="1"/>
  <c r="C87" i="8" s="1"/>
  <c r="C86" i="8" s="1"/>
  <c r="C85" i="8" s="1"/>
  <c r="C84" i="8" s="1"/>
  <c r="C83" i="8" s="1"/>
  <c r="C82" i="8" s="1"/>
  <c r="C81" i="8" s="1"/>
  <c r="C80" i="8" s="1"/>
  <c r="C79" i="8" s="1"/>
  <c r="C78" i="8" s="1"/>
  <c r="C77" i="8" s="1"/>
  <c r="C76" i="8" s="1"/>
  <c r="C75" i="8" s="1"/>
  <c r="C74" i="8" s="1"/>
  <c r="C73" i="8" s="1"/>
  <c r="C72" i="8" s="1"/>
  <c r="C71" i="8" s="1"/>
  <c r="C70" i="8" s="1"/>
  <c r="C69" i="8" s="1"/>
  <c r="C68" i="8" s="1"/>
  <c r="C67" i="8" s="1"/>
  <c r="C66" i="8" s="1"/>
  <c r="C65" i="8" s="1"/>
  <c r="C64" i="8" s="1"/>
  <c r="C63" i="8" s="1"/>
  <c r="C62" i="8" s="1"/>
  <c r="C61" i="8" s="1"/>
  <c r="C60" i="8" s="1"/>
  <c r="C59" i="8" s="1"/>
  <c r="C58" i="8" s="1"/>
  <c r="C57" i="8" s="1"/>
  <c r="C56" i="8" s="1"/>
  <c r="C55" i="8" s="1"/>
  <c r="C54" i="8" s="1"/>
  <c r="C53" i="8" s="1"/>
  <c r="C52" i="8" s="1"/>
  <c r="C51" i="8" s="1"/>
  <c r="C50" i="8" s="1"/>
  <c r="C49" i="8" s="1"/>
  <c r="C48" i="8" s="1"/>
  <c r="C47" i="8" s="1"/>
  <c r="C46" i="8" s="1"/>
  <c r="C45" i="8" s="1"/>
  <c r="C44" i="8" s="1"/>
  <c r="C43" i="8" s="1"/>
  <c r="C42" i="8" s="1"/>
  <c r="C41" i="8" s="1"/>
  <c r="C40" i="8" s="1"/>
  <c r="C39" i="8" s="1"/>
  <c r="C38" i="8" s="1"/>
  <c r="C37" i="8" s="1"/>
  <c r="C36" i="8" s="1"/>
  <c r="C35" i="8" s="1"/>
  <c r="C34" i="8" s="1"/>
  <c r="C33" i="8" s="1"/>
  <c r="C32" i="8" s="1"/>
  <c r="C31" i="8" s="1"/>
  <c r="C30" i="8" s="1"/>
  <c r="C29" i="8" s="1"/>
  <c r="C28" i="8" s="1"/>
  <c r="C27" i="8" s="1"/>
  <c r="C26" i="8" s="1"/>
  <c r="C25" i="8" s="1"/>
  <c r="C24" i="8" s="1"/>
  <c r="C23" i="8" s="1"/>
  <c r="C22" i="8" s="1"/>
  <c r="C21" i="8" s="1"/>
  <c r="C20" i="8" s="1"/>
  <c r="C19" i="8" s="1"/>
  <c r="C18" i="8" s="1"/>
  <c r="C17" i="8" s="1"/>
  <c r="C16" i="8" s="1"/>
  <c r="C15" i="8" s="1"/>
  <c r="C14" i="8" s="1"/>
  <c r="C13" i="8" s="1"/>
  <c r="C12" i="8" s="1"/>
  <c r="C11" i="8" s="1"/>
  <c r="C10" i="8" s="1"/>
  <c r="C9" i="8" s="1"/>
  <c r="C8" i="8" s="1"/>
  <c r="C7" i="8" s="1"/>
  <c r="C6" i="8" s="1"/>
  <c r="C4" i="8" s="1"/>
  <c r="N28" i="8" s="1"/>
  <c r="D3" i="8"/>
  <c r="D159" i="8" s="1"/>
  <c r="D158" i="8" s="1"/>
  <c r="D157" i="8" s="1"/>
  <c r="D156" i="8" s="1"/>
  <c r="D155" i="8" s="1"/>
  <c r="D154" i="8" s="1"/>
  <c r="D153" i="8" s="1"/>
  <c r="D152" i="8" s="1"/>
  <c r="D151" i="8" s="1"/>
  <c r="D150" i="8" s="1"/>
  <c r="D149" i="8" s="1"/>
  <c r="D148" i="8" s="1"/>
  <c r="D147" i="8" s="1"/>
  <c r="D146" i="8" s="1"/>
  <c r="D145" i="8" s="1"/>
  <c r="D144" i="8" s="1"/>
  <c r="D143" i="8" s="1"/>
  <c r="D142" i="8" s="1"/>
  <c r="D141" i="8" s="1"/>
  <c r="D140" i="8" s="1"/>
  <c r="D139" i="8" s="1"/>
  <c r="D138" i="8" s="1"/>
  <c r="D137" i="8" s="1"/>
  <c r="D136" i="8" s="1"/>
  <c r="D135" i="8" s="1"/>
  <c r="D134" i="8" s="1"/>
  <c r="D133" i="8" s="1"/>
  <c r="D132" i="8" s="1"/>
  <c r="D131" i="8" s="1"/>
  <c r="D130" i="8" s="1"/>
  <c r="D129" i="8" s="1"/>
  <c r="D128" i="8" s="1"/>
  <c r="D127" i="8" s="1"/>
  <c r="D126" i="8" s="1"/>
  <c r="D125" i="8" s="1"/>
  <c r="D124" i="8" s="1"/>
  <c r="D123" i="8" s="1"/>
  <c r="D122" i="8" s="1"/>
  <c r="D121" i="8" s="1"/>
  <c r="D120" i="8" s="1"/>
  <c r="D119" i="8" s="1"/>
  <c r="D118" i="8" s="1"/>
  <c r="D117" i="8" s="1"/>
  <c r="D116" i="8" s="1"/>
  <c r="D115" i="8" s="1"/>
  <c r="D114" i="8" s="1"/>
  <c r="D113" i="8" s="1"/>
  <c r="D112" i="8" s="1"/>
  <c r="D111" i="8" s="1"/>
  <c r="D110" i="8" s="1"/>
  <c r="D109" i="8" s="1"/>
  <c r="D108" i="8" s="1"/>
  <c r="D107" i="8" s="1"/>
  <c r="D106" i="8" s="1"/>
  <c r="D105" i="8" s="1"/>
  <c r="D104" i="8" s="1"/>
  <c r="D103" i="8" s="1"/>
  <c r="D102" i="8" s="1"/>
  <c r="D101" i="8" s="1"/>
  <c r="D100" i="8" s="1"/>
  <c r="D99" i="8" s="1"/>
  <c r="D98" i="8" s="1"/>
  <c r="D97" i="8" s="1"/>
  <c r="D96" i="8" s="1"/>
  <c r="D95" i="8" s="1"/>
  <c r="D94" i="8" s="1"/>
  <c r="D93" i="8" s="1"/>
  <c r="D92" i="8" s="1"/>
  <c r="D91" i="8" s="1"/>
  <c r="D90" i="8" s="1"/>
  <c r="D89" i="8" s="1"/>
  <c r="D88" i="8" s="1"/>
  <c r="D87" i="8" s="1"/>
  <c r="D86" i="8" s="1"/>
  <c r="D85" i="8" s="1"/>
  <c r="D84" i="8" s="1"/>
  <c r="D83" i="8" s="1"/>
  <c r="D82" i="8" s="1"/>
  <c r="D81" i="8" s="1"/>
  <c r="D80" i="8" s="1"/>
  <c r="D79" i="8" s="1"/>
  <c r="D78" i="8" s="1"/>
  <c r="D77" i="8" s="1"/>
  <c r="D76" i="8" s="1"/>
  <c r="D75" i="8" s="1"/>
  <c r="D74" i="8" s="1"/>
  <c r="D73" i="8" s="1"/>
  <c r="D72" i="8" s="1"/>
  <c r="D71" i="8" s="1"/>
  <c r="D70" i="8" s="1"/>
  <c r="D69" i="8" s="1"/>
  <c r="D68" i="8" s="1"/>
  <c r="D67" i="8" s="1"/>
  <c r="D66" i="8" s="1"/>
  <c r="D65" i="8" s="1"/>
  <c r="D64" i="8" s="1"/>
  <c r="D63" i="8" s="1"/>
  <c r="D62" i="8" s="1"/>
  <c r="D61" i="8" s="1"/>
  <c r="D60" i="8" s="1"/>
  <c r="D59" i="8" s="1"/>
  <c r="D58" i="8" s="1"/>
  <c r="D57" i="8" s="1"/>
  <c r="D56" i="8" s="1"/>
  <c r="D55" i="8" s="1"/>
  <c r="D54" i="8" s="1"/>
  <c r="D53" i="8" s="1"/>
  <c r="D52" i="8" s="1"/>
  <c r="D51" i="8" s="1"/>
  <c r="D50" i="8" s="1"/>
  <c r="D49" i="8" s="1"/>
  <c r="D48" i="8" s="1"/>
  <c r="D47" i="8" s="1"/>
  <c r="D46" i="8" s="1"/>
  <c r="D45" i="8" s="1"/>
  <c r="D44" i="8" s="1"/>
  <c r="D43" i="8" s="1"/>
  <c r="D42" i="8" s="1"/>
  <c r="D41" i="8" s="1"/>
  <c r="D40" i="8" s="1"/>
  <c r="D39" i="8" s="1"/>
  <c r="D38" i="8" s="1"/>
  <c r="D37" i="8" s="1"/>
  <c r="D36" i="8" s="1"/>
  <c r="D35" i="8" s="1"/>
  <c r="D34" i="8" s="1"/>
  <c r="D33" i="8" s="1"/>
  <c r="D32" i="8" s="1"/>
  <c r="D31" i="8" s="1"/>
  <c r="D30" i="8" s="1"/>
  <c r="D29" i="8" s="1"/>
  <c r="D28" i="8" s="1"/>
  <c r="D27" i="8" s="1"/>
  <c r="D26" i="8" s="1"/>
  <c r="D25" i="8" s="1"/>
  <c r="D24" i="8" s="1"/>
  <c r="D23" i="8" s="1"/>
  <c r="D22" i="8" s="1"/>
  <c r="D21" i="8" s="1"/>
  <c r="D20" i="8" s="1"/>
  <c r="D19" i="8" s="1"/>
  <c r="D18" i="8" s="1"/>
  <c r="D17" i="8" s="1"/>
  <c r="D16" i="8" s="1"/>
  <c r="D15" i="8" s="1"/>
  <c r="D14" i="8" s="1"/>
  <c r="D13" i="8" s="1"/>
  <c r="D12" i="8" s="1"/>
  <c r="D11" i="8" s="1"/>
  <c r="D10" i="8" s="1"/>
  <c r="D9" i="8" s="1"/>
  <c r="D8" i="8" s="1"/>
  <c r="D7" i="8" s="1"/>
  <c r="D6" i="8" s="1"/>
  <c r="D4" i="8" s="1"/>
  <c r="O28" i="8" l="1"/>
  <c r="C79" i="1" s="1"/>
  <c r="O29" i="8"/>
  <c r="C80" i="1" s="1"/>
  <c r="N29" i="8"/>
  <c r="B323" i="2" l="1"/>
  <c r="B442" i="2" s="1"/>
  <c r="C50" i="16"/>
  <c r="D50" i="16" s="1"/>
  <c r="B310" i="2" l="1"/>
  <c r="A442" i="2"/>
  <c r="B324" i="2"/>
  <c r="B443" i="2" s="1"/>
  <c r="C51" i="16"/>
  <c r="D51" i="16" s="1"/>
  <c r="B329" i="2"/>
  <c r="A443" i="2" l="1"/>
  <c r="B311" i="2"/>
  <c r="C7" i="17" s="1"/>
  <c r="B330" i="2"/>
  <c r="F78" i="1"/>
  <c r="C5" i="17"/>
  <c r="E72" i="1"/>
  <c r="F79" i="1"/>
  <c r="C4" i="17"/>
  <c r="F80" i="1" l="1"/>
  <c r="A629" i="17"/>
  <c r="A627" i="17"/>
  <c r="H627" i="17" s="1"/>
  <c r="N592" i="17"/>
  <c r="N628" i="17"/>
  <c r="M628" i="17"/>
  <c r="J628" i="17"/>
  <c r="I628" i="17"/>
  <c r="K628" i="17"/>
  <c r="L628" i="17"/>
  <c r="J610" i="17"/>
  <c r="I613" i="17"/>
  <c r="J606" i="17"/>
  <c r="J602" i="17"/>
  <c r="J598" i="17"/>
  <c r="C634" i="17"/>
  <c r="I612" i="17"/>
  <c r="I608" i="17"/>
  <c r="I604" i="17"/>
  <c r="I600" i="17"/>
  <c r="I596" i="17"/>
  <c r="J592" i="17"/>
  <c r="J588" i="17"/>
  <c r="J584" i="17"/>
  <c r="J580" i="17"/>
  <c r="J576" i="17"/>
  <c r="J572" i="17"/>
  <c r="J568" i="17"/>
  <c r="J564" i="17"/>
  <c r="J560" i="17"/>
  <c r="J556" i="17"/>
  <c r="J552" i="17"/>
  <c r="J548" i="17"/>
  <c r="J544" i="17"/>
  <c r="J587" i="17"/>
  <c r="J579" i="17"/>
  <c r="J571" i="17"/>
  <c r="J563" i="17"/>
  <c r="J555" i="17"/>
  <c r="J547" i="17"/>
  <c r="J541" i="17"/>
  <c r="J537" i="17"/>
  <c r="J533" i="17"/>
  <c r="J529" i="17"/>
  <c r="J525" i="17"/>
  <c r="J521" i="17"/>
  <c r="I588" i="17"/>
  <c r="I580" i="17"/>
  <c r="I572" i="17"/>
  <c r="I564" i="17"/>
  <c r="I556" i="17"/>
  <c r="I548" i="17"/>
  <c r="J542" i="17"/>
  <c r="J538" i="17"/>
  <c r="J534" i="17"/>
  <c r="J530" i="17"/>
  <c r="J526" i="17"/>
  <c r="J522" i="17"/>
  <c r="I520" i="17"/>
  <c r="I515" i="17"/>
  <c r="I511" i="17"/>
  <c r="I507" i="17"/>
  <c r="I503" i="17"/>
  <c r="I499" i="17"/>
  <c r="I495" i="17"/>
  <c r="I491" i="17"/>
  <c r="I487" i="17"/>
  <c r="I483" i="17"/>
  <c r="I479" i="17"/>
  <c r="I475" i="17"/>
  <c r="I471" i="17"/>
  <c r="I467" i="17"/>
  <c r="I463" i="17"/>
  <c r="I459" i="17"/>
  <c r="I455" i="17"/>
  <c r="I451" i="17"/>
  <c r="I447" i="17"/>
  <c r="I443" i="17"/>
  <c r="I439" i="17"/>
  <c r="I435" i="17"/>
  <c r="I431" i="17"/>
  <c r="I427" i="17"/>
  <c r="I423" i="17"/>
  <c r="I419" i="17"/>
  <c r="I518" i="17"/>
  <c r="I514" i="17"/>
  <c r="I510" i="17"/>
  <c r="I506" i="17"/>
  <c r="I502" i="17"/>
  <c r="I498" i="17"/>
  <c r="I494" i="17"/>
  <c r="I490" i="17"/>
  <c r="I486" i="17"/>
  <c r="I482" i="17"/>
  <c r="I478" i="17"/>
  <c r="I474" i="17"/>
  <c r="I470" i="17"/>
  <c r="I466" i="17"/>
  <c r="I462" i="17"/>
  <c r="I458" i="17"/>
  <c r="I454" i="17"/>
  <c r="I450" i="17"/>
  <c r="I446" i="17"/>
  <c r="I442" i="17"/>
  <c r="I438" i="17"/>
  <c r="I434" i="17"/>
  <c r="I430" i="17"/>
  <c r="I426" i="17"/>
  <c r="I422" i="17"/>
  <c r="I418" i="17"/>
  <c r="I414" i="17"/>
  <c r="I410" i="17"/>
  <c r="I406" i="17"/>
  <c r="I402" i="17"/>
  <c r="I398" i="17"/>
  <c r="I394" i="17"/>
  <c r="I390" i="17"/>
  <c r="I386" i="17"/>
  <c r="I382" i="17"/>
  <c r="I378" i="17"/>
  <c r="I374" i="17"/>
  <c r="I370" i="17"/>
  <c r="I366" i="17"/>
  <c r="I362" i="17"/>
  <c r="I358" i="17"/>
  <c r="I354" i="17"/>
  <c r="I350" i="17"/>
  <c r="I346" i="17"/>
  <c r="I342" i="17"/>
  <c r="I338" i="17"/>
  <c r="I334" i="17"/>
  <c r="I330" i="17"/>
  <c r="I326" i="17"/>
  <c r="I322" i="17"/>
  <c r="I318" i="17"/>
  <c r="J416" i="17"/>
  <c r="J412" i="17"/>
  <c r="J408" i="17"/>
  <c r="J404" i="17"/>
  <c r="J400" i="17"/>
  <c r="J396" i="17"/>
  <c r="J392" i="17"/>
  <c r="J388" i="17"/>
  <c r="J384" i="17"/>
  <c r="J380" i="17"/>
  <c r="J376" i="17"/>
  <c r="J372" i="17"/>
  <c r="J368" i="17"/>
  <c r="J364" i="17"/>
  <c r="J360" i="17"/>
  <c r="J356" i="17"/>
  <c r="J352" i="17"/>
  <c r="J348" i="17"/>
  <c r="J344" i="17"/>
  <c r="J340" i="17"/>
  <c r="J336" i="17"/>
  <c r="J332" i="17"/>
  <c r="J328" i="17"/>
  <c r="J324" i="17"/>
  <c r="J320" i="17"/>
  <c r="J316" i="17"/>
  <c r="I312" i="17"/>
  <c r="I308" i="17"/>
  <c r="I304" i="17"/>
  <c r="I300" i="17"/>
  <c r="I296" i="17"/>
  <c r="I292" i="17"/>
  <c r="I288" i="17"/>
  <c r="I284" i="17"/>
  <c r="I280" i="17"/>
  <c r="I276" i="17"/>
  <c r="I272" i="17"/>
  <c r="I268" i="17"/>
  <c r="I264" i="17"/>
  <c r="I260" i="17"/>
  <c r="I256" i="17"/>
  <c r="I252" i="17"/>
  <c r="I248" i="17"/>
  <c r="I244" i="17"/>
  <c r="I240" i="17"/>
  <c r="I236" i="17"/>
  <c r="I232" i="17"/>
  <c r="I228" i="17"/>
  <c r="I224" i="17"/>
  <c r="I220" i="17"/>
  <c r="I216" i="17"/>
  <c r="I212" i="17"/>
  <c r="I208" i="17"/>
  <c r="I204" i="17"/>
  <c r="I200" i="17"/>
  <c r="I196" i="17"/>
  <c r="I192" i="17"/>
  <c r="I188" i="17"/>
  <c r="I184" i="17"/>
  <c r="I180" i="17"/>
  <c r="I176" i="17"/>
  <c r="I172" i="17"/>
  <c r="I168" i="17"/>
  <c r="I164" i="17"/>
  <c r="I160" i="17"/>
  <c r="I156" i="17"/>
  <c r="I152" i="17"/>
  <c r="I148" i="17"/>
  <c r="I144" i="17"/>
  <c r="I140" i="17"/>
  <c r="I136" i="17"/>
  <c r="I132" i="17"/>
  <c r="I128" i="17"/>
  <c r="I124" i="17"/>
  <c r="I120" i="17"/>
  <c r="I116" i="17"/>
  <c r="I112" i="17"/>
  <c r="I313" i="17"/>
  <c r="I309" i="17"/>
  <c r="I305" i="17"/>
  <c r="I301" i="17"/>
  <c r="I297" i="17"/>
  <c r="I293" i="17"/>
  <c r="I289" i="17"/>
  <c r="I285" i="17"/>
  <c r="I281" i="17"/>
  <c r="I277" i="17"/>
  <c r="I273" i="17"/>
  <c r="I269" i="17"/>
  <c r="I265" i="17"/>
  <c r="I261" i="17"/>
  <c r="I257" i="17"/>
  <c r="I253" i="17"/>
  <c r="I249" i="17"/>
  <c r="I245" i="17"/>
  <c r="I241" i="17"/>
  <c r="I237" i="17"/>
  <c r="I233" i="17"/>
  <c r="I229" i="17"/>
  <c r="I225" i="17"/>
  <c r="I221" i="17"/>
  <c r="I217" i="17"/>
  <c r="I213" i="17"/>
  <c r="I209" i="17"/>
  <c r="I205" i="17"/>
  <c r="I201" i="17"/>
  <c r="I197" i="17"/>
  <c r="I193" i="17"/>
  <c r="I189" i="17"/>
  <c r="I185" i="17"/>
  <c r="I181" i="17"/>
  <c r="I177" i="17"/>
  <c r="I173" i="17"/>
  <c r="I169" i="17"/>
  <c r="I165" i="17"/>
  <c r="I161" i="17"/>
  <c r="I157" i="17"/>
  <c r="I153" i="17"/>
  <c r="I149" i="17"/>
  <c r="I145" i="17"/>
  <c r="I141" i="17"/>
  <c r="I611" i="17"/>
  <c r="I605" i="17"/>
  <c r="I601" i="17"/>
  <c r="I597" i="17"/>
  <c r="W624" i="17"/>
  <c r="J611" i="17"/>
  <c r="J607" i="17"/>
  <c r="J603" i="17"/>
  <c r="J599" i="17"/>
  <c r="J612" i="17"/>
  <c r="J608" i="17"/>
  <c r="I609" i="17"/>
  <c r="J604" i="17"/>
  <c r="J600" i="17"/>
  <c r="J596" i="17"/>
  <c r="A624" i="17"/>
  <c r="I610" i="17"/>
  <c r="I606" i="17"/>
  <c r="I602" i="17"/>
  <c r="I598" i="17"/>
  <c r="J594" i="17"/>
  <c r="J590" i="17"/>
  <c r="J586" i="17"/>
  <c r="J582" i="17"/>
  <c r="J578" i="17"/>
  <c r="J574" i="17"/>
  <c r="J570" i="17"/>
  <c r="J566" i="17"/>
  <c r="J562" i="17"/>
  <c r="J558" i="17"/>
  <c r="J554" i="17"/>
  <c r="J550" i="17"/>
  <c r="J546" i="17"/>
  <c r="J591" i="17"/>
  <c r="J583" i="17"/>
  <c r="J575" i="17"/>
  <c r="J567" i="17"/>
  <c r="J559" i="17"/>
  <c r="J551" i="17"/>
  <c r="J543" i="17"/>
  <c r="J539" i="17"/>
  <c r="J535" i="17"/>
  <c r="J531" i="17"/>
  <c r="J527" i="17"/>
  <c r="J523" i="17"/>
  <c r="I592" i="17"/>
  <c r="I584" i="17"/>
  <c r="I576" i="17"/>
  <c r="I568" i="17"/>
  <c r="I560" i="17"/>
  <c r="I552" i="17"/>
  <c r="I544" i="17"/>
  <c r="J540" i="17"/>
  <c r="J536" i="17"/>
  <c r="J532" i="17"/>
  <c r="J528" i="17"/>
  <c r="J524" i="17"/>
  <c r="J520" i="17"/>
  <c r="I517" i="17"/>
  <c r="I513" i="17"/>
  <c r="I509" i="17"/>
  <c r="I505" i="17"/>
  <c r="I501" i="17"/>
  <c r="I497" i="17"/>
  <c r="I493" i="17"/>
  <c r="I489" i="17"/>
  <c r="I485" i="17"/>
  <c r="I481" i="17"/>
  <c r="I477" i="17"/>
  <c r="I473" i="17"/>
  <c r="I469" i="17"/>
  <c r="I465" i="17"/>
  <c r="I461" i="17"/>
  <c r="I457" i="17"/>
  <c r="I453" i="17"/>
  <c r="I449" i="17"/>
  <c r="I445" i="17"/>
  <c r="I441" i="17"/>
  <c r="I437" i="17"/>
  <c r="I433" i="17"/>
  <c r="I429" i="17"/>
  <c r="I425" i="17"/>
  <c r="I421" i="17"/>
  <c r="I417" i="17"/>
  <c r="I516" i="17"/>
  <c r="I512" i="17"/>
  <c r="I508" i="17"/>
  <c r="I504" i="17"/>
  <c r="I500" i="17"/>
  <c r="I496" i="17"/>
  <c r="I492" i="17"/>
  <c r="I488" i="17"/>
  <c r="I484" i="17"/>
  <c r="I480" i="17"/>
  <c r="I476" i="17"/>
  <c r="I472" i="17"/>
  <c r="I468" i="17"/>
  <c r="I464" i="17"/>
  <c r="I460" i="17"/>
  <c r="I456" i="17"/>
  <c r="I452" i="17"/>
  <c r="I448" i="17"/>
  <c r="I444" i="17"/>
  <c r="I440" i="17"/>
  <c r="I436" i="17"/>
  <c r="I432" i="17"/>
  <c r="I428" i="17"/>
  <c r="I424" i="17"/>
  <c r="I420" i="17"/>
  <c r="I416" i="17"/>
  <c r="I412" i="17"/>
  <c r="I408" i="17"/>
  <c r="I404" i="17"/>
  <c r="I400" i="17"/>
  <c r="I396" i="17"/>
  <c r="I392" i="17"/>
  <c r="I388" i="17"/>
  <c r="I384" i="17"/>
  <c r="I380" i="17"/>
  <c r="I376" i="17"/>
  <c r="I372" i="17"/>
  <c r="I368" i="17"/>
  <c r="I364" i="17"/>
  <c r="I360" i="17"/>
  <c r="I356" i="17"/>
  <c r="I352" i="17"/>
  <c r="I348" i="17"/>
  <c r="I344" i="17"/>
  <c r="I340" i="17"/>
  <c r="I336" i="17"/>
  <c r="I332" i="17"/>
  <c r="I328" i="17"/>
  <c r="I324" i="17"/>
  <c r="I320" i="17"/>
  <c r="I316" i="17"/>
  <c r="J414" i="17"/>
  <c r="J410" i="17"/>
  <c r="J406" i="17"/>
  <c r="J402" i="17"/>
  <c r="J398" i="17"/>
  <c r="J394" i="17"/>
  <c r="J390" i="17"/>
  <c r="J386" i="17"/>
  <c r="J382" i="17"/>
  <c r="J378" i="17"/>
  <c r="J374" i="17"/>
  <c r="J370" i="17"/>
  <c r="J366" i="17"/>
  <c r="J362" i="17"/>
  <c r="J358" i="17"/>
  <c r="J354" i="17"/>
  <c r="J350" i="17"/>
  <c r="J346" i="17"/>
  <c r="J342" i="17"/>
  <c r="J338" i="17"/>
  <c r="J334" i="17"/>
  <c r="J330" i="17"/>
  <c r="J326" i="17"/>
  <c r="J322" i="17"/>
  <c r="J318" i="17"/>
  <c r="I314" i="17"/>
  <c r="I310" i="17"/>
  <c r="I306" i="17"/>
  <c r="I302" i="17"/>
  <c r="I298" i="17"/>
  <c r="I294" i="17"/>
  <c r="I290" i="17"/>
  <c r="I286" i="17"/>
  <c r="I282" i="17"/>
  <c r="I278" i="17"/>
  <c r="I274" i="17"/>
  <c r="I270" i="17"/>
  <c r="I266" i="17"/>
  <c r="I262" i="17"/>
  <c r="I258" i="17"/>
  <c r="I254" i="17"/>
  <c r="I250" i="17"/>
  <c r="I246" i="17"/>
  <c r="I242" i="17"/>
  <c r="I238" i="17"/>
  <c r="I234" i="17"/>
  <c r="I230" i="17"/>
  <c r="I226" i="17"/>
  <c r="I222" i="17"/>
  <c r="I218" i="17"/>
  <c r="I214" i="17"/>
  <c r="I210" i="17"/>
  <c r="I206" i="17"/>
  <c r="I202" i="17"/>
  <c r="I198" i="17"/>
  <c r="I194" i="17"/>
  <c r="I190" i="17"/>
  <c r="I186" i="17"/>
  <c r="I182" i="17"/>
  <c r="I178" i="17"/>
  <c r="I174" i="17"/>
  <c r="I170" i="17"/>
  <c r="I166" i="17"/>
  <c r="I162" i="17"/>
  <c r="I158" i="17"/>
  <c r="I154" i="17"/>
  <c r="I150" i="17"/>
  <c r="I146" i="17"/>
  <c r="I142" i="17"/>
  <c r="I138" i="17"/>
  <c r="I134" i="17"/>
  <c r="I130" i="17"/>
  <c r="I126" i="17"/>
  <c r="I122" i="17"/>
  <c r="I118" i="17"/>
  <c r="I114" i="17"/>
  <c r="I110" i="17"/>
  <c r="I311" i="17"/>
  <c r="I307" i="17"/>
  <c r="I303" i="17"/>
  <c r="I299" i="17"/>
  <c r="I295" i="17"/>
  <c r="I291" i="17"/>
  <c r="I287" i="17"/>
  <c r="I283" i="17"/>
  <c r="I279" i="17"/>
  <c r="I275" i="17"/>
  <c r="I271" i="17"/>
  <c r="I267" i="17"/>
  <c r="I259" i="17"/>
  <c r="I251" i="17"/>
  <c r="I243" i="17"/>
  <c r="I235" i="17"/>
  <c r="I227" i="17"/>
  <c r="I219" i="17"/>
  <c r="I211" i="17"/>
  <c r="I203" i="17"/>
  <c r="I195" i="17"/>
  <c r="I187" i="17"/>
  <c r="I179" i="17"/>
  <c r="I171" i="17"/>
  <c r="I163" i="17"/>
  <c r="I155" i="17"/>
  <c r="I147" i="17"/>
  <c r="I139" i="17"/>
  <c r="I603" i="17"/>
  <c r="I595" i="17"/>
  <c r="J609" i="17"/>
  <c r="J601" i="17"/>
  <c r="J595" i="17"/>
  <c r="I591" i="17"/>
  <c r="I587" i="17"/>
  <c r="I583" i="17"/>
  <c r="I579" i="17"/>
  <c r="I575" i="17"/>
  <c r="I571" i="17"/>
  <c r="I567" i="17"/>
  <c r="I563" i="17"/>
  <c r="I559" i="17"/>
  <c r="I555" i="17"/>
  <c r="I551" i="17"/>
  <c r="I547" i="17"/>
  <c r="J593" i="17"/>
  <c r="J585" i="17"/>
  <c r="J577" i="17"/>
  <c r="J569" i="17"/>
  <c r="J561" i="17"/>
  <c r="J553" i="17"/>
  <c r="J545" i="17"/>
  <c r="I540" i="17"/>
  <c r="I536" i="17"/>
  <c r="I532" i="17"/>
  <c r="I528" i="17"/>
  <c r="I524" i="17"/>
  <c r="I594" i="17"/>
  <c r="I586" i="17"/>
  <c r="I578" i="17"/>
  <c r="I570" i="17"/>
  <c r="I562" i="17"/>
  <c r="I554" i="17"/>
  <c r="I546" i="17"/>
  <c r="I541" i="17"/>
  <c r="I537" i="17"/>
  <c r="I533" i="17"/>
  <c r="I529" i="17"/>
  <c r="I525" i="17"/>
  <c r="I521" i="17"/>
  <c r="J518" i="17"/>
  <c r="J514" i="17"/>
  <c r="J510" i="17"/>
  <c r="J506" i="17"/>
  <c r="J502" i="17"/>
  <c r="J498" i="17"/>
  <c r="J494" i="17"/>
  <c r="J490" i="17"/>
  <c r="J486" i="17"/>
  <c r="J482" i="17"/>
  <c r="J478" i="17"/>
  <c r="J474" i="17"/>
  <c r="J470" i="17"/>
  <c r="J466" i="17"/>
  <c r="J462" i="17"/>
  <c r="J458" i="17"/>
  <c r="J454" i="17"/>
  <c r="J450" i="17"/>
  <c r="J446" i="17"/>
  <c r="J442" i="17"/>
  <c r="J438" i="17"/>
  <c r="J434" i="17"/>
  <c r="J430" i="17"/>
  <c r="J426" i="17"/>
  <c r="J422" i="17"/>
  <c r="J418" i="17"/>
  <c r="J517" i="17"/>
  <c r="J513" i="17"/>
  <c r="J509" i="17"/>
  <c r="J505" i="17"/>
  <c r="J501" i="17"/>
  <c r="J497" i="17"/>
  <c r="J493" i="17"/>
  <c r="J489" i="17"/>
  <c r="J485" i="17"/>
  <c r="J481" i="17"/>
  <c r="J477" i="17"/>
  <c r="J473" i="17"/>
  <c r="J469" i="17"/>
  <c r="J465" i="17"/>
  <c r="J461" i="17"/>
  <c r="J457" i="17"/>
  <c r="J453" i="17"/>
  <c r="J449" i="17"/>
  <c r="J445" i="17"/>
  <c r="J441" i="17"/>
  <c r="J437" i="17"/>
  <c r="J433" i="17"/>
  <c r="J429" i="17"/>
  <c r="J425" i="17"/>
  <c r="J421" i="17"/>
  <c r="J417" i="17"/>
  <c r="J413" i="17"/>
  <c r="J409" i="17"/>
  <c r="J405" i="17"/>
  <c r="J401" i="17"/>
  <c r="J397" i="17"/>
  <c r="J393" i="17"/>
  <c r="J389" i="17"/>
  <c r="J385" i="17"/>
  <c r="J381" i="17"/>
  <c r="J377" i="17"/>
  <c r="J373" i="17"/>
  <c r="J369" i="17"/>
  <c r="J365" i="17"/>
  <c r="J361" i="17"/>
  <c r="J357" i="17"/>
  <c r="J353" i="17"/>
  <c r="J349" i="17"/>
  <c r="J345" i="17"/>
  <c r="J341" i="17"/>
  <c r="J337" i="17"/>
  <c r="J333" i="17"/>
  <c r="J329" i="17"/>
  <c r="J325" i="17"/>
  <c r="J321" i="17"/>
  <c r="J317" i="17"/>
  <c r="I415" i="17"/>
  <c r="I411" i="17"/>
  <c r="I407" i="17"/>
  <c r="I403" i="17"/>
  <c r="I399" i="17"/>
  <c r="I395" i="17"/>
  <c r="I391" i="17"/>
  <c r="I387" i="17"/>
  <c r="I383" i="17"/>
  <c r="I379" i="17"/>
  <c r="I375" i="17"/>
  <c r="I371" i="17"/>
  <c r="I367" i="17"/>
  <c r="I363" i="17"/>
  <c r="I359" i="17"/>
  <c r="I355" i="17"/>
  <c r="I351" i="17"/>
  <c r="I347" i="17"/>
  <c r="I343" i="17"/>
  <c r="I339" i="17"/>
  <c r="I335" i="17"/>
  <c r="I331" i="17"/>
  <c r="I327" i="17"/>
  <c r="I323" i="17"/>
  <c r="I319" i="17"/>
  <c r="I315" i="17"/>
  <c r="J311" i="17"/>
  <c r="J307" i="17"/>
  <c r="J303" i="17"/>
  <c r="J299" i="17"/>
  <c r="J295" i="17"/>
  <c r="J291" i="17"/>
  <c r="J287" i="17"/>
  <c r="J283" i="17"/>
  <c r="J279" i="17"/>
  <c r="J275" i="17"/>
  <c r="J271" i="17"/>
  <c r="J267" i="17"/>
  <c r="J263" i="17"/>
  <c r="J259" i="17"/>
  <c r="J255" i="17"/>
  <c r="J251" i="17"/>
  <c r="J247" i="17"/>
  <c r="J243" i="17"/>
  <c r="J239" i="17"/>
  <c r="J235" i="17"/>
  <c r="J231" i="17"/>
  <c r="J227" i="17"/>
  <c r="J223" i="17"/>
  <c r="J219" i="17"/>
  <c r="J215" i="17"/>
  <c r="J211" i="17"/>
  <c r="J207" i="17"/>
  <c r="J203" i="17"/>
  <c r="J199" i="17"/>
  <c r="J195" i="17"/>
  <c r="J191" i="17"/>
  <c r="J187" i="17"/>
  <c r="J183" i="17"/>
  <c r="J179" i="17"/>
  <c r="J175" i="17"/>
  <c r="J171" i="17"/>
  <c r="J167" i="17"/>
  <c r="J163" i="17"/>
  <c r="J159" i="17"/>
  <c r="J155" i="17"/>
  <c r="J151" i="17"/>
  <c r="J147" i="17"/>
  <c r="J143" i="17"/>
  <c r="J139" i="17"/>
  <c r="J135" i="17"/>
  <c r="J131" i="17"/>
  <c r="J127" i="17"/>
  <c r="J123" i="17"/>
  <c r="J119" i="17"/>
  <c r="J115" i="17"/>
  <c r="J111" i="17"/>
  <c r="J312" i="17"/>
  <c r="J308" i="17"/>
  <c r="J304" i="17"/>
  <c r="J300" i="17"/>
  <c r="J296" i="17"/>
  <c r="J292" i="17"/>
  <c r="J288" i="17"/>
  <c r="J284" i="17"/>
  <c r="J280" i="17"/>
  <c r="J276" i="17"/>
  <c r="J272" i="17"/>
  <c r="J268" i="17"/>
  <c r="J264" i="17"/>
  <c r="J260" i="17"/>
  <c r="J256" i="17"/>
  <c r="J252" i="17"/>
  <c r="J248" i="17"/>
  <c r="J244" i="17"/>
  <c r="J240" i="17"/>
  <c r="J236" i="17"/>
  <c r="J232" i="17"/>
  <c r="J228" i="17"/>
  <c r="J224" i="17"/>
  <c r="J220" i="17"/>
  <c r="J216" i="17"/>
  <c r="J212" i="17"/>
  <c r="J208" i="17"/>
  <c r="J204" i="17"/>
  <c r="J200" i="17"/>
  <c r="J196" i="17"/>
  <c r="J192" i="17"/>
  <c r="J188" i="17"/>
  <c r="J184" i="17"/>
  <c r="J180" i="17"/>
  <c r="J176" i="17"/>
  <c r="J172" i="17"/>
  <c r="J168" i="17"/>
  <c r="J164" i="17"/>
  <c r="J160" i="17"/>
  <c r="J156" i="17"/>
  <c r="J152" i="17"/>
  <c r="J148" i="17"/>
  <c r="J144" i="17"/>
  <c r="J140" i="17"/>
  <c r="J136" i="17"/>
  <c r="J132" i="17"/>
  <c r="J128" i="17"/>
  <c r="J124" i="17"/>
  <c r="J120" i="17"/>
  <c r="J116" i="17"/>
  <c r="J112" i="17"/>
  <c r="I135" i="17"/>
  <c r="I127" i="17"/>
  <c r="I119" i="17"/>
  <c r="I111" i="17"/>
  <c r="J16" i="17"/>
  <c r="J20" i="17"/>
  <c r="J24" i="17"/>
  <c r="J28" i="17"/>
  <c r="J32" i="17"/>
  <c r="J36" i="17"/>
  <c r="J40" i="17"/>
  <c r="J44" i="17"/>
  <c r="J48" i="17"/>
  <c r="J52" i="17"/>
  <c r="J56" i="17"/>
  <c r="J60" i="17"/>
  <c r="J64" i="17"/>
  <c r="J68" i="17"/>
  <c r="J72" i="17"/>
  <c r="J76" i="17"/>
  <c r="J80" i="17"/>
  <c r="J84" i="17"/>
  <c r="J88" i="17"/>
  <c r="J92" i="17"/>
  <c r="J96" i="17"/>
  <c r="J100" i="17"/>
  <c r="J104" i="17"/>
  <c r="J108" i="17"/>
  <c r="I133" i="17"/>
  <c r="I125" i="17"/>
  <c r="I117" i="17"/>
  <c r="I13" i="17"/>
  <c r="I17" i="17"/>
  <c r="I21" i="17"/>
  <c r="I25" i="17"/>
  <c r="I29" i="17"/>
  <c r="I33" i="17"/>
  <c r="I37" i="17"/>
  <c r="I41" i="17"/>
  <c r="I45" i="17"/>
  <c r="I49" i="17"/>
  <c r="I53" i="17"/>
  <c r="I57" i="17"/>
  <c r="I61" i="17"/>
  <c r="I65" i="17"/>
  <c r="I69" i="17"/>
  <c r="I73" i="17"/>
  <c r="I77" i="17"/>
  <c r="I81" i="17"/>
  <c r="I85" i="17"/>
  <c r="I89" i="17"/>
  <c r="I93" i="17"/>
  <c r="I97" i="17"/>
  <c r="I101" i="17"/>
  <c r="I105" i="17"/>
  <c r="I109" i="17"/>
  <c r="I106" i="17"/>
  <c r="I102" i="17"/>
  <c r="I98" i="17"/>
  <c r="I94" i="17"/>
  <c r="I90" i="17"/>
  <c r="I86" i="17"/>
  <c r="I82" i="17"/>
  <c r="I78" i="17"/>
  <c r="I74" i="17"/>
  <c r="I70" i="17"/>
  <c r="I66" i="17"/>
  <c r="I62" i="17"/>
  <c r="I58" i="17"/>
  <c r="I54" i="17"/>
  <c r="I50" i="17"/>
  <c r="I46" i="17"/>
  <c r="I42" i="17"/>
  <c r="I38" i="17"/>
  <c r="I34" i="17"/>
  <c r="I30" i="17"/>
  <c r="I26" i="17"/>
  <c r="I22" i="17"/>
  <c r="I18" i="17"/>
  <c r="I14" i="17"/>
  <c r="J107" i="17"/>
  <c r="J103" i="17"/>
  <c r="J99" i="17"/>
  <c r="J95" i="17"/>
  <c r="J91" i="17"/>
  <c r="J87" i="17"/>
  <c r="J83" i="17"/>
  <c r="J79" i="17"/>
  <c r="J75" i="17"/>
  <c r="J71" i="17"/>
  <c r="J67" i="17"/>
  <c r="J63" i="17"/>
  <c r="J59" i="17"/>
  <c r="J55" i="17"/>
  <c r="J51" i="17"/>
  <c r="J47" i="17"/>
  <c r="J43" i="17"/>
  <c r="J39" i="17"/>
  <c r="J35" i="17"/>
  <c r="J31" i="17"/>
  <c r="J27" i="17"/>
  <c r="J23" i="17"/>
  <c r="J19" i="17"/>
  <c r="J15" i="17"/>
  <c r="I622" i="17"/>
  <c r="J626" i="17"/>
  <c r="I623" i="17"/>
  <c r="I263" i="17"/>
  <c r="I255" i="17"/>
  <c r="I247" i="17"/>
  <c r="I239" i="17"/>
  <c r="I231" i="17"/>
  <c r="I223" i="17"/>
  <c r="I215" i="17"/>
  <c r="I207" i="17"/>
  <c r="I199" i="17"/>
  <c r="I191" i="17"/>
  <c r="I183" i="17"/>
  <c r="I175" i="17"/>
  <c r="I167" i="17"/>
  <c r="I159" i="17"/>
  <c r="I151" i="17"/>
  <c r="I143" i="17"/>
  <c r="I607" i="17"/>
  <c r="I599" i="17"/>
  <c r="J613" i="17"/>
  <c r="J605" i="17"/>
  <c r="J597" i="17"/>
  <c r="I593" i="17"/>
  <c r="I589" i="17"/>
  <c r="I585" i="17"/>
  <c r="I581" i="17"/>
  <c r="I577" i="17"/>
  <c r="I573" i="17"/>
  <c r="I569" i="17"/>
  <c r="I565" i="17"/>
  <c r="I561" i="17"/>
  <c r="I557" i="17"/>
  <c r="I553" i="17"/>
  <c r="I549" i="17"/>
  <c r="I545" i="17"/>
  <c r="J589" i="17"/>
  <c r="J581" i="17"/>
  <c r="J573" i="17"/>
  <c r="J565" i="17"/>
  <c r="J557" i="17"/>
  <c r="J549" i="17"/>
  <c r="I542" i="17"/>
  <c r="I538" i="17"/>
  <c r="I534" i="17"/>
  <c r="I530" i="17"/>
  <c r="I526" i="17"/>
  <c r="I522" i="17"/>
  <c r="I590" i="17"/>
  <c r="I582" i="17"/>
  <c r="I574" i="17"/>
  <c r="I566" i="17"/>
  <c r="I558" i="17"/>
  <c r="I550" i="17"/>
  <c r="I543" i="17"/>
  <c r="I539" i="17"/>
  <c r="I535" i="17"/>
  <c r="I531" i="17"/>
  <c r="I527" i="17"/>
  <c r="I523" i="17"/>
  <c r="I519" i="17"/>
  <c r="J516" i="17"/>
  <c r="J512" i="17"/>
  <c r="J508" i="17"/>
  <c r="J504" i="17"/>
  <c r="J500" i="17"/>
  <c r="J496" i="17"/>
  <c r="J492" i="17"/>
  <c r="J488" i="17"/>
  <c r="J484" i="17"/>
  <c r="J480" i="17"/>
  <c r="J476" i="17"/>
  <c r="J472" i="17"/>
  <c r="J468" i="17"/>
  <c r="J464" i="17"/>
  <c r="J460" i="17"/>
  <c r="J456" i="17"/>
  <c r="J452" i="17"/>
  <c r="J448" i="17"/>
  <c r="J444" i="17"/>
  <c r="J440" i="17"/>
  <c r="J436" i="17"/>
  <c r="J432" i="17"/>
  <c r="J428" i="17"/>
  <c r="J424" i="17"/>
  <c r="J420" i="17"/>
  <c r="J519" i="17"/>
  <c r="J515" i="17"/>
  <c r="J511" i="17"/>
  <c r="J507" i="17"/>
  <c r="J503" i="17"/>
  <c r="J499" i="17"/>
  <c r="J495" i="17"/>
  <c r="J491" i="17"/>
  <c r="J487" i="17"/>
  <c r="J483" i="17"/>
  <c r="J479" i="17"/>
  <c r="J475" i="17"/>
  <c r="J471" i="17"/>
  <c r="J467" i="17"/>
  <c r="J463" i="17"/>
  <c r="J459" i="17"/>
  <c r="J455" i="17"/>
  <c r="J451" i="17"/>
  <c r="J447" i="17"/>
  <c r="J443" i="17"/>
  <c r="J439" i="17"/>
  <c r="J435" i="17"/>
  <c r="J431" i="17"/>
  <c r="J427" i="17"/>
  <c r="J423" i="17"/>
  <c r="J419" i="17"/>
  <c r="J415" i="17"/>
  <c r="J411" i="17"/>
  <c r="J407" i="17"/>
  <c r="J403" i="17"/>
  <c r="J399" i="17"/>
  <c r="J395" i="17"/>
  <c r="J391" i="17"/>
  <c r="J387" i="17"/>
  <c r="J383" i="17"/>
  <c r="J379" i="17"/>
  <c r="J375" i="17"/>
  <c r="J371" i="17"/>
  <c r="J367" i="17"/>
  <c r="J363" i="17"/>
  <c r="J359" i="17"/>
  <c r="J355" i="17"/>
  <c r="J351" i="17"/>
  <c r="J347" i="17"/>
  <c r="J343" i="17"/>
  <c r="J339" i="17"/>
  <c r="J335" i="17"/>
  <c r="J331" i="17"/>
  <c r="J327" i="17"/>
  <c r="J323" i="17"/>
  <c r="J319" i="17"/>
  <c r="J315" i="17"/>
  <c r="I413" i="17"/>
  <c r="I409" i="17"/>
  <c r="I405" i="17"/>
  <c r="I401" i="17"/>
  <c r="I397" i="17"/>
  <c r="I393" i="17"/>
  <c r="I385" i="17"/>
  <c r="I377" i="17"/>
  <c r="I369" i="17"/>
  <c r="I361" i="17"/>
  <c r="I353" i="17"/>
  <c r="I345" i="17"/>
  <c r="I337" i="17"/>
  <c r="I329" i="17"/>
  <c r="I321" i="17"/>
  <c r="J313" i="17"/>
  <c r="J305" i="17"/>
  <c r="J297" i="17"/>
  <c r="J289" i="17"/>
  <c r="J281" i="17"/>
  <c r="J273" i="17"/>
  <c r="J265" i="17"/>
  <c r="J257" i="17"/>
  <c r="J249" i="17"/>
  <c r="J241" i="17"/>
  <c r="J233" i="17"/>
  <c r="J225" i="17"/>
  <c r="J217" i="17"/>
  <c r="J209" i="17"/>
  <c r="J201" i="17"/>
  <c r="J193" i="17"/>
  <c r="J185" i="17"/>
  <c r="J177" i="17"/>
  <c r="J169" i="17"/>
  <c r="J161" i="17"/>
  <c r="J153" i="17"/>
  <c r="J145" i="17"/>
  <c r="J137" i="17"/>
  <c r="J129" i="17"/>
  <c r="J121" i="17"/>
  <c r="J113" i="17"/>
  <c r="J310" i="17"/>
  <c r="J302" i="17"/>
  <c r="J294" i="17"/>
  <c r="J286" i="17"/>
  <c r="J278" i="17"/>
  <c r="J270" i="17"/>
  <c r="J262" i="17"/>
  <c r="J254" i="17"/>
  <c r="J246" i="17"/>
  <c r="J238" i="17"/>
  <c r="J230" i="17"/>
  <c r="J222" i="17"/>
  <c r="J214" i="17"/>
  <c r="J206" i="17"/>
  <c r="J198" i="17"/>
  <c r="J190" i="17"/>
  <c r="J182" i="17"/>
  <c r="J174" i="17"/>
  <c r="J166" i="17"/>
  <c r="J158" i="17"/>
  <c r="J150" i="17"/>
  <c r="J142" i="17"/>
  <c r="J134" i="17"/>
  <c r="J126" i="17"/>
  <c r="J118" i="17"/>
  <c r="J110" i="17"/>
  <c r="I123" i="17"/>
  <c r="J14" i="17"/>
  <c r="J22" i="17"/>
  <c r="J30" i="17"/>
  <c r="J38" i="17"/>
  <c r="J46" i="17"/>
  <c r="J54" i="17"/>
  <c r="J62" i="17"/>
  <c r="J70" i="17"/>
  <c r="J78" i="17"/>
  <c r="J86" i="17"/>
  <c r="J94" i="17"/>
  <c r="J102" i="17"/>
  <c r="I137" i="17"/>
  <c r="I121" i="17"/>
  <c r="I15" i="17"/>
  <c r="I23" i="17"/>
  <c r="I31" i="17"/>
  <c r="I39" i="17"/>
  <c r="I47" i="17"/>
  <c r="I55" i="17"/>
  <c r="I63" i="17"/>
  <c r="I71" i="17"/>
  <c r="I79" i="17"/>
  <c r="I87" i="17"/>
  <c r="I95" i="17"/>
  <c r="I103" i="17"/>
  <c r="I108" i="17"/>
  <c r="I100" i="17"/>
  <c r="I92" i="17"/>
  <c r="I84" i="17"/>
  <c r="I76" i="17"/>
  <c r="I68" i="17"/>
  <c r="I60" i="17"/>
  <c r="I52" i="17"/>
  <c r="I44" i="17"/>
  <c r="I36" i="17"/>
  <c r="I28" i="17"/>
  <c r="I20" i="17"/>
  <c r="J109" i="17"/>
  <c r="J101" i="17"/>
  <c r="J93" i="17"/>
  <c r="J85" i="17"/>
  <c r="J77" i="17"/>
  <c r="J69" i="17"/>
  <c r="J61" i="17"/>
  <c r="J53" i="17"/>
  <c r="J45" i="17"/>
  <c r="J37" i="17"/>
  <c r="J29" i="17"/>
  <c r="J21" i="17"/>
  <c r="J13" i="17"/>
  <c r="I626" i="17"/>
  <c r="J622" i="17"/>
  <c r="I389" i="17"/>
  <c r="I381" i="17"/>
  <c r="I373" i="17"/>
  <c r="I365" i="17"/>
  <c r="I357" i="17"/>
  <c r="I349" i="17"/>
  <c r="I341" i="17"/>
  <c r="I333" i="17"/>
  <c r="I325" i="17"/>
  <c r="I317" i="17"/>
  <c r="J309" i="17"/>
  <c r="J301" i="17"/>
  <c r="J293" i="17"/>
  <c r="J285" i="17"/>
  <c r="J277" i="17"/>
  <c r="J269" i="17"/>
  <c r="J261" i="17"/>
  <c r="J253" i="17"/>
  <c r="J245" i="17"/>
  <c r="J237" i="17"/>
  <c r="J229" i="17"/>
  <c r="J221" i="17"/>
  <c r="J213" i="17"/>
  <c r="J205" i="17"/>
  <c r="J197" i="17"/>
  <c r="J189" i="17"/>
  <c r="J181" i="17"/>
  <c r="J173" i="17"/>
  <c r="J165" i="17"/>
  <c r="J157" i="17"/>
  <c r="J149" i="17"/>
  <c r="J141" i="17"/>
  <c r="J133" i="17"/>
  <c r="J125" i="17"/>
  <c r="J117" i="17"/>
  <c r="J314" i="17"/>
  <c r="J306" i="17"/>
  <c r="J298" i="17"/>
  <c r="J290" i="17"/>
  <c r="J282" i="17"/>
  <c r="J274" i="17"/>
  <c r="J266" i="17"/>
  <c r="J258" i="17"/>
  <c r="J250" i="17"/>
  <c r="J242" i="17"/>
  <c r="J234" i="17"/>
  <c r="J226" i="17"/>
  <c r="J218" i="17"/>
  <c r="J210" i="17"/>
  <c r="J202" i="17"/>
  <c r="J194" i="17"/>
  <c r="J186" i="17"/>
  <c r="J178" i="17"/>
  <c r="J170" i="17"/>
  <c r="J162" i="17"/>
  <c r="J154" i="17"/>
  <c r="J146" i="17"/>
  <c r="J138" i="17"/>
  <c r="J130" i="17"/>
  <c r="J122" i="17"/>
  <c r="J114" i="17"/>
  <c r="I131" i="17"/>
  <c r="I115" i="17"/>
  <c r="J18" i="17"/>
  <c r="J26" i="17"/>
  <c r="J34" i="17"/>
  <c r="J42" i="17"/>
  <c r="J50" i="17"/>
  <c r="J58" i="17"/>
  <c r="J66" i="17"/>
  <c r="J74" i="17"/>
  <c r="J82" i="17"/>
  <c r="J90" i="17"/>
  <c r="J98" i="17"/>
  <c r="J106" i="17"/>
  <c r="I129" i="17"/>
  <c r="I113" i="17"/>
  <c r="I19" i="17"/>
  <c r="I27" i="17"/>
  <c r="I35" i="17"/>
  <c r="I43" i="17"/>
  <c r="I51" i="17"/>
  <c r="I59" i="17"/>
  <c r="I67" i="17"/>
  <c r="I75" i="17"/>
  <c r="I83" i="17"/>
  <c r="I91" i="17"/>
  <c r="I99" i="17"/>
  <c r="I107" i="17"/>
  <c r="I104" i="17"/>
  <c r="I96" i="17"/>
  <c r="I88" i="17"/>
  <c r="I80" i="17"/>
  <c r="I72" i="17"/>
  <c r="I64" i="17"/>
  <c r="I56" i="17"/>
  <c r="I48" i="17"/>
  <c r="I40" i="17"/>
  <c r="I32" i="17"/>
  <c r="I24" i="17"/>
  <c r="I16" i="17"/>
  <c r="J105" i="17"/>
  <c r="J97" i="17"/>
  <c r="J89" i="17"/>
  <c r="J81" i="17"/>
  <c r="J73" i="17"/>
  <c r="J65" i="17"/>
  <c r="J57" i="17"/>
  <c r="J49" i="17"/>
  <c r="J41" i="17"/>
  <c r="J33" i="17"/>
  <c r="J25" i="17"/>
  <c r="J17" i="17"/>
  <c r="J623" i="17"/>
  <c r="L610" i="17"/>
  <c r="K379" i="17"/>
  <c r="L386" i="17"/>
  <c r="L123" i="17"/>
  <c r="W625" i="17"/>
  <c r="L200" i="17"/>
  <c r="K207" i="17"/>
  <c r="K453" i="17"/>
  <c r="L66" i="17"/>
  <c r="K95" i="17"/>
  <c r="L264" i="17"/>
  <c r="K315" i="17"/>
  <c r="K271" i="17"/>
  <c r="L322" i="17"/>
  <c r="K532" i="17"/>
  <c r="L535" i="17"/>
  <c r="L34" i="17"/>
  <c r="K56" i="17"/>
  <c r="K63" i="17"/>
  <c r="L168" i="17"/>
  <c r="L296" i="17"/>
  <c r="L219" i="17"/>
  <c r="K347" i="17"/>
  <c r="K175" i="17"/>
  <c r="K303" i="17"/>
  <c r="K226" i="17"/>
  <c r="L354" i="17"/>
  <c r="K492" i="17"/>
  <c r="L570" i="17"/>
  <c r="L495" i="17"/>
  <c r="K573" i="17"/>
  <c r="L82" i="17"/>
  <c r="L18" i="17"/>
  <c r="K80" i="17"/>
  <c r="K48" i="17"/>
  <c r="L13" i="17"/>
  <c r="K47" i="17"/>
  <c r="L120" i="17"/>
  <c r="L184" i="17"/>
  <c r="L248" i="17"/>
  <c r="L312" i="17"/>
  <c r="L171" i="17"/>
  <c r="L235" i="17"/>
  <c r="L299" i="17"/>
  <c r="K363" i="17"/>
  <c r="K127" i="17"/>
  <c r="K191" i="17"/>
  <c r="K255" i="17"/>
  <c r="K114" i="17"/>
  <c r="K178" i="17"/>
  <c r="K242" i="17"/>
  <c r="K306" i="17"/>
  <c r="L370" i="17"/>
  <c r="K396" i="17"/>
  <c r="K421" i="17"/>
  <c r="L553" i="17"/>
  <c r="K602" i="17"/>
  <c r="L399" i="17"/>
  <c r="L424" i="17"/>
  <c r="L559" i="17"/>
  <c r="L605" i="17"/>
  <c r="L90" i="17"/>
  <c r="L58" i="17"/>
  <c r="L26" i="17"/>
  <c r="K100" i="17"/>
  <c r="K84" i="17"/>
  <c r="K68" i="17"/>
  <c r="K52" i="17"/>
  <c r="K36" i="17"/>
  <c r="K20" i="17"/>
  <c r="K87" i="17"/>
  <c r="K55" i="17"/>
  <c r="K23" i="17"/>
  <c r="K115" i="17"/>
  <c r="L144" i="17"/>
  <c r="L176" i="17"/>
  <c r="L208" i="17"/>
  <c r="L240" i="17"/>
  <c r="L272" i="17"/>
  <c r="L304" i="17"/>
  <c r="L131" i="17"/>
  <c r="L163" i="17"/>
  <c r="L195" i="17"/>
  <c r="L227" i="17"/>
  <c r="L259" i="17"/>
  <c r="L291" i="17"/>
  <c r="K323" i="17"/>
  <c r="K355" i="17"/>
  <c r="K387" i="17"/>
  <c r="K330" i="17"/>
  <c r="K151" i="17"/>
  <c r="K183" i="17"/>
  <c r="K215" i="17"/>
  <c r="K247" i="17"/>
  <c r="K279" i="17"/>
  <c r="K311" i="17"/>
  <c r="K138" i="17"/>
  <c r="K170" i="17"/>
  <c r="K202" i="17"/>
  <c r="K234" i="17"/>
  <c r="K266" i="17"/>
  <c r="K298" i="17"/>
  <c r="L330" i="17"/>
  <c r="L362" i="17"/>
  <c r="L402" i="17"/>
  <c r="K380" i="17"/>
  <c r="K444" i="17"/>
  <c r="K508" i="17"/>
  <c r="K469" i="17"/>
  <c r="L532" i="17"/>
  <c r="K552" i="17"/>
  <c r="L586" i="17"/>
  <c r="L319" i="17"/>
  <c r="L383" i="17"/>
  <c r="L447" i="17"/>
  <c r="L511" i="17"/>
  <c r="L472" i="17"/>
  <c r="K535" i="17"/>
  <c r="K558" i="17"/>
  <c r="K589" i="17"/>
  <c r="K623" i="17"/>
  <c r="L102" i="17"/>
  <c r="L86" i="17"/>
  <c r="L70" i="17"/>
  <c r="L54" i="17"/>
  <c r="L38" i="17"/>
  <c r="L22" i="17"/>
  <c r="K106" i="17"/>
  <c r="K98" i="17"/>
  <c r="K90" i="17"/>
  <c r="K82" i="17"/>
  <c r="K74" i="17"/>
  <c r="K66" i="17"/>
  <c r="K58" i="17"/>
  <c r="K50" i="17"/>
  <c r="K42" i="17"/>
  <c r="K34" i="17"/>
  <c r="K26" i="17"/>
  <c r="L17" i="17"/>
  <c r="K99" i="17"/>
  <c r="K83" i="17"/>
  <c r="K67" i="17"/>
  <c r="K51" i="17"/>
  <c r="K35" i="17"/>
  <c r="K19" i="17"/>
  <c r="L112" i="17"/>
  <c r="L116" i="17"/>
  <c r="L132" i="17"/>
  <c r="L148" i="17"/>
  <c r="L164" i="17"/>
  <c r="L180" i="17"/>
  <c r="L196" i="17"/>
  <c r="L212" i="17"/>
  <c r="L228" i="17"/>
  <c r="L244" i="17"/>
  <c r="L260" i="17"/>
  <c r="L276" i="17"/>
  <c r="L292" i="17"/>
  <c r="L308" i="17"/>
  <c r="L119" i="17"/>
  <c r="L135" i="17"/>
  <c r="L151" i="17"/>
  <c r="L167" i="17"/>
  <c r="L183" i="17"/>
  <c r="L199" i="17"/>
  <c r="L215" i="17"/>
  <c r="L231" i="17"/>
  <c r="L247" i="17"/>
  <c r="L263" i="17"/>
  <c r="L279" i="17"/>
  <c r="L295" i="17"/>
  <c r="L311" i="17"/>
  <c r="K327" i="17"/>
  <c r="K343" i="17"/>
  <c r="K359" i="17"/>
  <c r="K375" i="17"/>
  <c r="K391" i="17"/>
  <c r="L408" i="17"/>
  <c r="K123" i="17"/>
  <c r="K139" i="17"/>
  <c r="K155" i="17"/>
  <c r="K171" i="17"/>
  <c r="K187" i="17"/>
  <c r="K203" i="17"/>
  <c r="K219" i="17"/>
  <c r="K235" i="17"/>
  <c r="K251" i="17"/>
  <c r="K267" i="17"/>
  <c r="K283" i="17"/>
  <c r="K299" i="17"/>
  <c r="K110" i="17"/>
  <c r="K126" i="17"/>
  <c r="K142" i="17"/>
  <c r="K158" i="17"/>
  <c r="K174" i="17"/>
  <c r="K190" i="17"/>
  <c r="K206" i="17"/>
  <c r="K222" i="17"/>
  <c r="K238" i="17"/>
  <c r="K254" i="17"/>
  <c r="K270" i="17"/>
  <c r="K286" i="17"/>
  <c r="K302" i="17"/>
  <c r="L318" i="17"/>
  <c r="L334" i="17"/>
  <c r="L350" i="17"/>
  <c r="L366" i="17"/>
  <c r="L382" i="17"/>
  <c r="L414" i="17"/>
  <c r="K356" i="17"/>
  <c r="K388" i="17"/>
  <c r="K420" i="17"/>
  <c r="K452" i="17"/>
  <c r="K484" i="17"/>
  <c r="K516" i="17"/>
  <c r="K445" i="17"/>
  <c r="K477" i="17"/>
  <c r="K509" i="17"/>
  <c r="L540" i="17"/>
  <c r="K524" i="17"/>
  <c r="K568" i="17"/>
  <c r="L562" i="17"/>
  <c r="L594" i="17"/>
  <c r="K607" i="17"/>
  <c r="L327" i="17"/>
  <c r="L359" i="17"/>
  <c r="L391" i="17"/>
  <c r="L423" i="17"/>
  <c r="L455" i="17"/>
  <c r="L487" i="17"/>
  <c r="K520" i="17"/>
  <c r="L448" i="17"/>
  <c r="L480" i="17"/>
  <c r="L512" i="17"/>
  <c r="K543" i="17"/>
  <c r="L527" i="17"/>
  <c r="K574" i="17"/>
  <c r="K565" i="17"/>
  <c r="L597" i="17"/>
  <c r="C635" i="17"/>
  <c r="L608" i="17"/>
  <c r="L600" i="17"/>
  <c r="L611" i="17"/>
  <c r="L603" i="17"/>
  <c r="L595" i="17"/>
  <c r="K587" i="17"/>
  <c r="K579" i="17"/>
  <c r="K571" i="17"/>
  <c r="K563" i="17"/>
  <c r="K555" i="17"/>
  <c r="K547" i="17"/>
  <c r="K586" i="17"/>
  <c r="K570" i="17"/>
  <c r="K554" i="17"/>
  <c r="L541" i="17"/>
  <c r="L533" i="17"/>
  <c r="K31" i="17"/>
  <c r="K104" i="17"/>
  <c r="K130" i="17"/>
  <c r="K40" i="17"/>
  <c r="L251" i="17"/>
  <c r="K258" i="17"/>
  <c r="L456" i="17"/>
  <c r="K72" i="17"/>
  <c r="L136" i="17"/>
  <c r="L187" i="17"/>
  <c r="K143" i="17"/>
  <c r="K194" i="17"/>
  <c r="K428" i="17"/>
  <c r="L431" i="17"/>
  <c r="L98" i="17"/>
  <c r="K88" i="17"/>
  <c r="K24" i="17"/>
  <c r="K117" i="17"/>
  <c r="L232" i="17"/>
  <c r="L155" i="17"/>
  <c r="L283" i="17"/>
  <c r="L416" i="17"/>
  <c r="K239" i="17"/>
  <c r="K162" i="17"/>
  <c r="K290" i="17"/>
  <c r="K364" i="17"/>
  <c r="K517" i="17"/>
  <c r="L367" i="17"/>
  <c r="K519" i="17"/>
  <c r="K626" i="17"/>
  <c r="L50" i="17"/>
  <c r="K96" i="17"/>
  <c r="K64" i="17"/>
  <c r="K32" i="17"/>
  <c r="K79" i="17"/>
  <c r="K15" i="17"/>
  <c r="L152" i="17"/>
  <c r="L216" i="17"/>
  <c r="L280" i="17"/>
  <c r="L139" i="17"/>
  <c r="L203" i="17"/>
  <c r="L267" i="17"/>
  <c r="K331" i="17"/>
  <c r="K395" i="17"/>
  <c r="K159" i="17"/>
  <c r="K223" i="17"/>
  <c r="K287" i="17"/>
  <c r="K146" i="17"/>
  <c r="K210" i="17"/>
  <c r="K274" i="17"/>
  <c r="L338" i="17"/>
  <c r="K328" i="17"/>
  <c r="K460" i="17"/>
  <c r="K485" i="17"/>
  <c r="K584" i="17"/>
  <c r="L335" i="17"/>
  <c r="L463" i="17"/>
  <c r="L488" i="17"/>
  <c r="K590" i="17"/>
  <c r="L106" i="17"/>
  <c r="L74" i="17"/>
  <c r="L42" i="17"/>
  <c r="K108" i="17"/>
  <c r="K92" i="17"/>
  <c r="K76" i="17"/>
  <c r="K60" i="17"/>
  <c r="K44" i="17"/>
  <c r="K28" i="17"/>
  <c r="K103" i="17"/>
  <c r="K71" i="17"/>
  <c r="K39" i="17"/>
  <c r="K14" i="17"/>
  <c r="L128" i="17"/>
  <c r="L160" i="17"/>
  <c r="L192" i="17"/>
  <c r="L224" i="17"/>
  <c r="L256" i="17"/>
  <c r="L288" i="17"/>
  <c r="L115" i="17"/>
  <c r="L147" i="17"/>
  <c r="L179" i="17"/>
  <c r="L211" i="17"/>
  <c r="L243" i="17"/>
  <c r="L275" i="17"/>
  <c r="L307" i="17"/>
  <c r="K339" i="17"/>
  <c r="K371" i="17"/>
  <c r="K403" i="17"/>
  <c r="K135" i="17"/>
  <c r="K167" i="17"/>
  <c r="K199" i="17"/>
  <c r="K231" i="17"/>
  <c r="K263" i="17"/>
  <c r="K295" i="17"/>
  <c r="K122" i="17"/>
  <c r="K154" i="17"/>
  <c r="K186" i="17"/>
  <c r="K218" i="17"/>
  <c r="K250" i="17"/>
  <c r="K282" i="17"/>
  <c r="K314" i="17"/>
  <c r="L346" i="17"/>
  <c r="L378" i="17"/>
  <c r="K348" i="17"/>
  <c r="K412" i="17"/>
  <c r="K476" i="17"/>
  <c r="K437" i="17"/>
  <c r="K501" i="17"/>
  <c r="L585" i="17"/>
  <c r="L554" i="17"/>
  <c r="K599" i="17"/>
  <c r="L351" i="17"/>
  <c r="L415" i="17"/>
  <c r="L479" i="17"/>
  <c r="L440" i="17"/>
  <c r="L504" i="17"/>
  <c r="L591" i="17"/>
  <c r="K557" i="17"/>
  <c r="L602" i="17"/>
  <c r="L622" i="17"/>
  <c r="L94" i="17"/>
  <c r="L78" i="17"/>
  <c r="L62" i="17"/>
  <c r="L46" i="17"/>
  <c r="L30" i="17"/>
  <c r="L14" i="17"/>
  <c r="K102" i="17"/>
  <c r="K94" i="17"/>
  <c r="K86" i="17"/>
  <c r="K78" i="17"/>
  <c r="K70" i="17"/>
  <c r="K62" i="17"/>
  <c r="K54" i="17"/>
  <c r="K46" i="17"/>
  <c r="K38" i="17"/>
  <c r="K30" i="17"/>
  <c r="K22" i="17"/>
  <c r="K107" i="17"/>
  <c r="K91" i="17"/>
  <c r="K75" i="17"/>
  <c r="K59" i="17"/>
  <c r="K43" i="17"/>
  <c r="K27" i="17"/>
  <c r="K18" i="17"/>
  <c r="K111" i="17"/>
  <c r="L124" i="17"/>
  <c r="L140" i="17"/>
  <c r="L156" i="17"/>
  <c r="L172" i="17"/>
  <c r="L188" i="17"/>
  <c r="L204" i="17"/>
  <c r="L220" i="17"/>
  <c r="L236" i="17"/>
  <c r="L252" i="17"/>
  <c r="L268" i="17"/>
  <c r="L284" i="17"/>
  <c r="L300" i="17"/>
  <c r="L111" i="17"/>
  <c r="L127" i="17"/>
  <c r="L143" i="17"/>
  <c r="L159" i="17"/>
  <c r="L175" i="17"/>
  <c r="L191" i="17"/>
  <c r="L207" i="17"/>
  <c r="L223" i="17"/>
  <c r="L239" i="17"/>
  <c r="L255" i="17"/>
  <c r="L271" i="17"/>
  <c r="L287" i="17"/>
  <c r="L303" i="17"/>
  <c r="K319" i="17"/>
  <c r="K335" i="17"/>
  <c r="K351" i="17"/>
  <c r="K367" i="17"/>
  <c r="K383" i="17"/>
  <c r="K399" i="17"/>
  <c r="K322" i="17"/>
  <c r="K131" i="17"/>
  <c r="K147" i="17"/>
  <c r="K163" i="17"/>
  <c r="K179" i="17"/>
  <c r="K195" i="17"/>
  <c r="K211" i="17"/>
  <c r="K227" i="17"/>
  <c r="K243" i="17"/>
  <c r="K259" i="17"/>
  <c r="K275" i="17"/>
  <c r="K291" i="17"/>
  <c r="K307" i="17"/>
  <c r="K118" i="17"/>
  <c r="K134" i="17"/>
  <c r="K150" i="17"/>
  <c r="K166" i="17"/>
  <c r="K182" i="17"/>
  <c r="K198" i="17"/>
  <c r="K214" i="17"/>
  <c r="K230" i="17"/>
  <c r="K246" i="17"/>
  <c r="K262" i="17"/>
  <c r="K278" i="17"/>
  <c r="K294" i="17"/>
  <c r="K310" i="17"/>
  <c r="L326" i="17"/>
  <c r="L342" i="17"/>
  <c r="L358" i="17"/>
  <c r="L374" i="17"/>
  <c r="L394" i="17"/>
  <c r="K340" i="17"/>
  <c r="K372" i="17"/>
  <c r="K404" i="17"/>
  <c r="K436" i="17"/>
  <c r="K468" i="17"/>
  <c r="K500" i="17"/>
  <c r="K429" i="17"/>
  <c r="K461" i="17"/>
  <c r="K493" i="17"/>
  <c r="L524" i="17"/>
  <c r="L569" i="17"/>
  <c r="K540" i="17"/>
  <c r="L546" i="17"/>
  <c r="L578" i="17"/>
  <c r="K610" i="17"/>
  <c r="K413" i="17"/>
  <c r="L343" i="17"/>
  <c r="L375" i="17"/>
  <c r="L407" i="17"/>
  <c r="L439" i="17"/>
  <c r="L471" i="17"/>
  <c r="L503" i="17"/>
  <c r="L432" i="17"/>
  <c r="L464" i="17"/>
  <c r="L496" i="17"/>
  <c r="K527" i="17"/>
  <c r="L575" i="17"/>
  <c r="L543" i="17"/>
  <c r="K549" i="17"/>
  <c r="K581" i="17"/>
  <c r="L613" i="17"/>
  <c r="L612" i="17"/>
  <c r="L604" i="17"/>
  <c r="L596" i="17"/>
  <c r="L607" i="17"/>
  <c r="L599" i="17"/>
  <c r="K591" i="17"/>
  <c r="K583" i="17"/>
  <c r="K575" i="17"/>
  <c r="K567" i="17"/>
  <c r="K559" i="17"/>
  <c r="K551" i="17"/>
  <c r="K594" i="17"/>
  <c r="K578" i="17"/>
  <c r="K562" i="17"/>
  <c r="K546" i="17"/>
  <c r="L537" i="17"/>
  <c r="L529" i="17"/>
  <c r="L521" i="17"/>
  <c r="L525" i="17"/>
  <c r="L579" i="17"/>
  <c r="L563" i="17"/>
  <c r="L547" i="17"/>
  <c r="K537" i="17"/>
  <c r="K529" i="17"/>
  <c r="K521" i="17"/>
  <c r="L514" i="17"/>
  <c r="L506" i="17"/>
  <c r="L498" i="17"/>
  <c r="L490" i="17"/>
  <c r="L482" i="17"/>
  <c r="L474" i="17"/>
  <c r="L466" i="17"/>
  <c r="L458" i="17"/>
  <c r="L450" i="17"/>
  <c r="L442" i="17"/>
  <c r="L434" i="17"/>
  <c r="L426" i="17"/>
  <c r="L418" i="17"/>
  <c r="L513" i="17"/>
  <c r="L505" i="17"/>
  <c r="L497" i="17"/>
  <c r="L489" i="17"/>
  <c r="L481" i="17"/>
  <c r="L473" i="17"/>
  <c r="L465" i="17"/>
  <c r="L457" i="17"/>
  <c r="L449" i="17"/>
  <c r="L441" i="17"/>
  <c r="L433" i="17"/>
  <c r="L425" i="17"/>
  <c r="L417" i="17"/>
  <c r="L409" i="17"/>
  <c r="L401" i="17"/>
  <c r="L393" i="17"/>
  <c r="L385" i="17"/>
  <c r="L377" i="17"/>
  <c r="L369" i="17"/>
  <c r="L361" i="17"/>
  <c r="L353" i="17"/>
  <c r="L345" i="17"/>
  <c r="L337" i="17"/>
  <c r="L329" i="17"/>
  <c r="L321" i="17"/>
  <c r="K415" i="17"/>
  <c r="K407" i="17"/>
  <c r="K609" i="17"/>
  <c r="K601" i="17"/>
  <c r="K612" i="17"/>
  <c r="K604" i="17"/>
  <c r="K596" i="17"/>
  <c r="L588" i="17"/>
  <c r="L580" i="17"/>
  <c r="L572" i="17"/>
  <c r="L564" i="17"/>
  <c r="L556" i="17"/>
  <c r="L548" i="17"/>
  <c r="K588" i="17"/>
  <c r="K572" i="17"/>
  <c r="K556" i="17"/>
  <c r="K542" i="17"/>
  <c r="K534" i="17"/>
  <c r="K526" i="17"/>
  <c r="L589" i="17"/>
  <c r="L573" i="17"/>
  <c r="L557" i="17"/>
  <c r="L542" i="17"/>
  <c r="L534" i="17"/>
  <c r="L526" i="17"/>
  <c r="L518" i="17"/>
  <c r="K511" i="17"/>
  <c r="K503" i="17"/>
  <c r="K495" i="17"/>
  <c r="K487" i="17"/>
  <c r="K479" i="17"/>
  <c r="K471" i="17"/>
  <c r="K463" i="17"/>
  <c r="K455" i="17"/>
  <c r="K447" i="17"/>
  <c r="K439" i="17"/>
  <c r="K431" i="17"/>
  <c r="K423" i="17"/>
  <c r="K518" i="17"/>
  <c r="K510" i="17"/>
  <c r="K502" i="17"/>
  <c r="K494" i="17"/>
  <c r="K486" i="17"/>
  <c r="K478" i="17"/>
  <c r="K470" i="17"/>
  <c r="K462" i="17"/>
  <c r="K454" i="17"/>
  <c r="K446" i="17"/>
  <c r="K438" i="17"/>
  <c r="K430" i="17"/>
  <c r="K422" i="17"/>
  <c r="K414" i="17"/>
  <c r="K406" i="17"/>
  <c r="K398" i="17"/>
  <c r="K390" i="17"/>
  <c r="K382" i="17"/>
  <c r="K374" i="17"/>
  <c r="K366" i="17"/>
  <c r="K358" i="17"/>
  <c r="K350" i="17"/>
  <c r="K342" i="17"/>
  <c r="K332" i="17"/>
  <c r="K316" i="17"/>
  <c r="L404" i="17"/>
  <c r="L396" i="17"/>
  <c r="L388" i="17"/>
  <c r="L626" i="17"/>
  <c r="L108" i="17"/>
  <c r="L100" i="17"/>
  <c r="L92" i="17"/>
  <c r="L84" i="17"/>
  <c r="L76" i="17"/>
  <c r="L68" i="17"/>
  <c r="L60" i="17"/>
  <c r="L52" i="17"/>
  <c r="L44" i="17"/>
  <c r="L36" i="17"/>
  <c r="L28" i="17"/>
  <c r="L20" i="17"/>
  <c r="L109" i="17"/>
  <c r="L105" i="17"/>
  <c r="L101" i="17"/>
  <c r="L97" i="17"/>
  <c r="L93" i="17"/>
  <c r="L89" i="17"/>
  <c r="L85" i="17"/>
  <c r="L81" i="17"/>
  <c r="L77" i="17"/>
  <c r="L73" i="17"/>
  <c r="L69" i="17"/>
  <c r="L65" i="17"/>
  <c r="L61" i="17"/>
  <c r="L57" i="17"/>
  <c r="L53" i="17"/>
  <c r="L49" i="17"/>
  <c r="L45" i="17"/>
  <c r="L41" i="17"/>
  <c r="L37" i="17"/>
  <c r="L33" i="17"/>
  <c r="L29" i="17"/>
  <c r="L25" i="17"/>
  <c r="L21" i="17"/>
  <c r="L15" i="17"/>
  <c r="K105" i="17"/>
  <c r="K97" i="17"/>
  <c r="K89" i="17"/>
  <c r="K81" i="17"/>
  <c r="K73" i="17"/>
  <c r="K65" i="17"/>
  <c r="K57" i="17"/>
  <c r="K49" i="17"/>
  <c r="K41" i="17"/>
  <c r="K33" i="17"/>
  <c r="K25" i="17"/>
  <c r="K17" i="17"/>
  <c r="K16" i="17"/>
  <c r="L114" i="17"/>
  <c r="K113" i="17"/>
  <c r="L118" i="17"/>
  <c r="L126" i="17"/>
  <c r="L134" i="17"/>
  <c r="L142" i="17"/>
  <c r="L150" i="17"/>
  <c r="L158" i="17"/>
  <c r="L166" i="17"/>
  <c r="L174" i="17"/>
  <c r="L182" i="17"/>
  <c r="L190" i="17"/>
  <c r="L198" i="17"/>
  <c r="L206" i="17"/>
  <c r="L214" i="17"/>
  <c r="L222" i="17"/>
  <c r="L230" i="17"/>
  <c r="L238" i="17"/>
  <c r="L246" i="17"/>
  <c r="L254" i="17"/>
  <c r="L262" i="17"/>
  <c r="L270" i="17"/>
  <c r="L278" i="17"/>
  <c r="L286" i="17"/>
  <c r="L294" i="17"/>
  <c r="L302" i="17"/>
  <c r="L310" i="17"/>
  <c r="L113" i="17"/>
  <c r="L121" i="17"/>
  <c r="L129" i="17"/>
  <c r="L137" i="17"/>
  <c r="L145" i="17"/>
  <c r="L153" i="17"/>
  <c r="L161" i="17"/>
  <c r="L169" i="17"/>
  <c r="L177" i="17"/>
  <c r="L185" i="17"/>
  <c r="L193" i="17"/>
  <c r="L201" i="17"/>
  <c r="L209" i="17"/>
  <c r="L217" i="17"/>
  <c r="L225" i="17"/>
  <c r="L233" i="17"/>
  <c r="L241" i="17"/>
  <c r="L249" i="17"/>
  <c r="L257" i="17"/>
  <c r="L265" i="17"/>
  <c r="L273" i="17"/>
  <c r="L281" i="17"/>
  <c r="L289" i="17"/>
  <c r="L297" i="17"/>
  <c r="L305" i="17"/>
  <c r="L313" i="17"/>
  <c r="K321" i="17"/>
  <c r="K329" i="17"/>
  <c r="K337" i="17"/>
  <c r="K345" i="17"/>
  <c r="K353" i="17"/>
  <c r="K361" i="17"/>
  <c r="K369" i="17"/>
  <c r="K377" i="17"/>
  <c r="K385" i="17"/>
  <c r="K393" i="17"/>
  <c r="K401" i="17"/>
  <c r="L412" i="17"/>
  <c r="K326" i="17"/>
  <c r="K125" i="17"/>
  <c r="K133" i="17"/>
  <c r="K141" i="17"/>
  <c r="K149" i="17"/>
  <c r="K157" i="17"/>
  <c r="K165" i="17"/>
  <c r="K173" i="17"/>
  <c r="K181" i="17"/>
  <c r="K189" i="17"/>
  <c r="K197" i="17"/>
  <c r="K205" i="17"/>
  <c r="K213" i="17"/>
  <c r="K221" i="17"/>
  <c r="K229" i="17"/>
  <c r="K237" i="17"/>
  <c r="K245" i="17"/>
  <c r="K253" i="17"/>
  <c r="K261" i="17"/>
  <c r="K269" i="17"/>
  <c r="K277" i="17"/>
  <c r="K285" i="17"/>
  <c r="K293" i="17"/>
  <c r="K301" i="17"/>
  <c r="K309" i="17"/>
  <c r="K112" i="17"/>
  <c r="K120" i="17"/>
  <c r="K128" i="17"/>
  <c r="K136" i="17"/>
  <c r="K144" i="17"/>
  <c r="K152" i="17"/>
  <c r="K160" i="17"/>
  <c r="K168" i="17"/>
  <c r="K176" i="17"/>
  <c r="K184" i="17"/>
  <c r="K192" i="17"/>
  <c r="K200" i="17"/>
  <c r="K208" i="17"/>
  <c r="K216" i="17"/>
  <c r="K224" i="17"/>
  <c r="K232" i="17"/>
  <c r="K240" i="17"/>
  <c r="K248" i="17"/>
  <c r="K256" i="17"/>
  <c r="K264" i="17"/>
  <c r="K272" i="17"/>
  <c r="K280" i="17"/>
  <c r="K288" i="17"/>
  <c r="K296" i="17"/>
  <c r="K304" i="17"/>
  <c r="K312" i="17"/>
  <c r="L320" i="17"/>
  <c r="L328" i="17"/>
  <c r="L336" i="17"/>
  <c r="L344" i="17"/>
  <c r="L352" i="17"/>
  <c r="L360" i="17"/>
  <c r="L368" i="17"/>
  <c r="L376" i="17"/>
  <c r="L384" i="17"/>
  <c r="L398" i="17"/>
  <c r="K320" i="17"/>
  <c r="K344" i="17"/>
  <c r="K360" i="17"/>
  <c r="K376" i="17"/>
  <c r="K392" i="17"/>
  <c r="K408" i="17"/>
  <c r="K424" i="17"/>
  <c r="K440" i="17"/>
  <c r="K456" i="17"/>
  <c r="K472" i="17"/>
  <c r="K488" i="17"/>
  <c r="K504" i="17"/>
  <c r="K417" i="17"/>
  <c r="K433" i="17"/>
  <c r="K449" i="17"/>
  <c r="K465" i="17"/>
  <c r="K481" i="17"/>
  <c r="K497" i="17"/>
  <c r="K513" i="17"/>
  <c r="L528" i="17"/>
  <c r="L545" i="17"/>
  <c r="L577" i="17"/>
  <c r="K528" i="17"/>
  <c r="K544" i="17"/>
  <c r="K576" i="17"/>
  <c r="L550" i="17"/>
  <c r="L566" i="17"/>
  <c r="L582" i="17"/>
  <c r="K598" i="17"/>
  <c r="K595" i="17"/>
  <c r="K611" i="17"/>
  <c r="L315" i="17"/>
  <c r="L331" i="17"/>
  <c r="L347" i="17"/>
  <c r="L363" i="17"/>
  <c r="L379" i="17"/>
  <c r="L395" i="17"/>
  <c r="L411" i="17"/>
  <c r="L427" i="17"/>
  <c r="L443" i="17"/>
  <c r="L459" i="17"/>
  <c r="L475" i="17"/>
  <c r="L491" i="17"/>
  <c r="L507" i="17"/>
  <c r="L420" i="17"/>
  <c r="L436" i="17"/>
  <c r="L452" i="17"/>
  <c r="L468" i="17"/>
  <c r="L484" i="17"/>
  <c r="L500" i="17"/>
  <c r="L516" i="17"/>
  <c r="K531" i="17"/>
  <c r="L551" i="17"/>
  <c r="L583" i="17"/>
  <c r="L531" i="17"/>
  <c r="K550" i="17"/>
  <c r="K582" i="17"/>
  <c r="K553" i="17"/>
  <c r="K569" i="17"/>
  <c r="K585" i="17"/>
  <c r="L601" i="17"/>
  <c r="L598" i="17"/>
  <c r="A625" i="17"/>
  <c r="L587" i="17"/>
  <c r="L571" i="17"/>
  <c r="L555" i="17"/>
  <c r="K541" i="17"/>
  <c r="K533" i="17"/>
  <c r="K525" i="17"/>
  <c r="L519" i="17"/>
  <c r="L510" i="17"/>
  <c r="L502" i="17"/>
  <c r="L494" i="17"/>
  <c r="L486" i="17"/>
  <c r="L478" i="17"/>
  <c r="L470" i="17"/>
  <c r="L462" i="17"/>
  <c r="L454" i="17"/>
  <c r="L446" i="17"/>
  <c r="L438" i="17"/>
  <c r="L430" i="17"/>
  <c r="L422" i="17"/>
  <c r="L517" i="17"/>
  <c r="L509" i="17"/>
  <c r="L501" i="17"/>
  <c r="L493" i="17"/>
  <c r="L485" i="17"/>
  <c r="L477" i="17"/>
  <c r="L469" i="17"/>
  <c r="L461" i="17"/>
  <c r="L453" i="17"/>
  <c r="L445" i="17"/>
  <c r="L437" i="17"/>
  <c r="L429" i="17"/>
  <c r="L421" i="17"/>
  <c r="L413" i="17"/>
  <c r="L405" i="17"/>
  <c r="L397" i="17"/>
  <c r="L389" i="17"/>
  <c r="L381" i="17"/>
  <c r="L373" i="17"/>
  <c r="L365" i="17"/>
  <c r="L357" i="17"/>
  <c r="L349" i="17"/>
  <c r="L341" i="17"/>
  <c r="L333" i="17"/>
  <c r="L325" i="17"/>
  <c r="L317" i="17"/>
  <c r="K411" i="17"/>
  <c r="K613" i="17"/>
  <c r="K605" i="17"/>
  <c r="K597" i="17"/>
  <c r="K608" i="17"/>
  <c r="K600" i="17"/>
  <c r="L592" i="17"/>
  <c r="L584" i="17"/>
  <c r="L576" i="17"/>
  <c r="L568" i="17"/>
  <c r="L560" i="17"/>
  <c r="L552" i="17"/>
  <c r="L544" i="17"/>
  <c r="K580" i="17"/>
  <c r="K564" i="17"/>
  <c r="K548" i="17"/>
  <c r="K538" i="17"/>
  <c r="K530" i="17"/>
  <c r="K522" i="17"/>
  <c r="L581" i="17"/>
  <c r="L565" i="17"/>
  <c r="L549" i="17"/>
  <c r="L538" i="17"/>
  <c r="L530" i="17"/>
  <c r="L522" i="17"/>
  <c r="K515" i="17"/>
  <c r="K507" i="17"/>
  <c r="K499" i="17"/>
  <c r="K491" i="17"/>
  <c r="K483" i="17"/>
  <c r="K475" i="17"/>
  <c r="K467" i="17"/>
  <c r="K459" i="17"/>
  <c r="K451" i="17"/>
  <c r="K443" i="17"/>
  <c r="K435" i="17"/>
  <c r="K427" i="17"/>
  <c r="K419" i="17"/>
  <c r="K514" i="17"/>
  <c r="K506" i="17"/>
  <c r="K498" i="17"/>
  <c r="K490" i="17"/>
  <c r="K482" i="17"/>
  <c r="K474" i="17"/>
  <c r="K466" i="17"/>
  <c r="K458" i="17"/>
  <c r="K450" i="17"/>
  <c r="K442" i="17"/>
  <c r="K434" i="17"/>
  <c r="K426" i="17"/>
  <c r="K418" i="17"/>
  <c r="K410" i="17"/>
  <c r="K402" i="17"/>
  <c r="K394" i="17"/>
  <c r="K386" i="17"/>
  <c r="K378" i="17"/>
  <c r="K370" i="17"/>
  <c r="K362" i="17"/>
  <c r="K354" i="17"/>
  <c r="K346" i="17"/>
  <c r="K338" i="17"/>
  <c r="K324" i="17"/>
  <c r="L410" i="17"/>
  <c r="L400" i="17"/>
  <c r="L392" i="17"/>
  <c r="L623" i="17"/>
  <c r="K622" i="17"/>
  <c r="L104" i="17"/>
  <c r="L96" i="17"/>
  <c r="L88" i="17"/>
  <c r="L80" i="17"/>
  <c r="L72" i="17"/>
  <c r="L64" i="17"/>
  <c r="L56" i="17"/>
  <c r="L48" i="17"/>
  <c r="L40" i="17"/>
  <c r="L32" i="17"/>
  <c r="L24" i="17"/>
  <c r="L16" i="17"/>
  <c r="L107" i="17"/>
  <c r="L103" i="17"/>
  <c r="L99" i="17"/>
  <c r="L95" i="17"/>
  <c r="L91" i="17"/>
  <c r="L87" i="17"/>
  <c r="L83" i="17"/>
  <c r="L79" i="17"/>
  <c r="L75" i="17"/>
  <c r="L71" i="17"/>
  <c r="L67" i="17"/>
  <c r="L63" i="17"/>
  <c r="L59" i="17"/>
  <c r="L55" i="17"/>
  <c r="L51" i="17"/>
  <c r="L47" i="17"/>
  <c r="L43" i="17"/>
  <c r="L39" i="17"/>
  <c r="L35" i="17"/>
  <c r="L31" i="17"/>
  <c r="L27" i="17"/>
  <c r="L23" i="17"/>
  <c r="L19" i="17"/>
  <c r="K109" i="17"/>
  <c r="K101" i="17"/>
  <c r="K93" i="17"/>
  <c r="K85" i="17"/>
  <c r="K77" i="17"/>
  <c r="K69" i="17"/>
  <c r="K61" i="17"/>
  <c r="K53" i="17"/>
  <c r="K45" i="17"/>
  <c r="K37" i="17"/>
  <c r="K29" i="17"/>
  <c r="K21" i="17"/>
  <c r="K13" i="17"/>
  <c r="L110" i="17"/>
  <c r="K121" i="17"/>
  <c r="K119" i="17"/>
  <c r="L122" i="17"/>
  <c r="L130" i="17"/>
  <c r="L138" i="17"/>
  <c r="L146" i="17"/>
  <c r="L154" i="17"/>
  <c r="L162" i="17"/>
  <c r="L170" i="17"/>
  <c r="L178" i="17"/>
  <c r="L186" i="17"/>
  <c r="L194" i="17"/>
  <c r="L202" i="17"/>
  <c r="L210" i="17"/>
  <c r="L218" i="17"/>
  <c r="L226" i="17"/>
  <c r="L234" i="17"/>
  <c r="L242" i="17"/>
  <c r="L250" i="17"/>
  <c r="L258" i="17"/>
  <c r="L266" i="17"/>
  <c r="L274" i="17"/>
  <c r="L282" i="17"/>
  <c r="L290" i="17"/>
  <c r="L298" i="17"/>
  <c r="L306" i="17"/>
  <c r="L314" i="17"/>
  <c r="L117" i="17"/>
  <c r="L125" i="17"/>
  <c r="L133" i="17"/>
  <c r="L141" i="17"/>
  <c r="L149" i="17"/>
  <c r="L157" i="17"/>
  <c r="L165" i="17"/>
  <c r="L173" i="17"/>
  <c r="L181" i="17"/>
  <c r="L189" i="17"/>
  <c r="L197" i="17"/>
  <c r="L205" i="17"/>
  <c r="L213" i="17"/>
  <c r="L221" i="17"/>
  <c r="L229" i="17"/>
  <c r="L237" i="17"/>
  <c r="L245" i="17"/>
  <c r="L253" i="17"/>
  <c r="L261" i="17"/>
  <c r="L269" i="17"/>
  <c r="L277" i="17"/>
  <c r="L285" i="17"/>
  <c r="L293" i="17"/>
  <c r="L301" i="17"/>
  <c r="L309" i="17"/>
  <c r="K317" i="17"/>
  <c r="K325" i="17"/>
  <c r="K333" i="17"/>
  <c r="K341" i="17"/>
  <c r="K349" i="17"/>
  <c r="K357" i="17"/>
  <c r="K365" i="17"/>
  <c r="K373" i="17"/>
  <c r="K381" i="17"/>
  <c r="K389" i="17"/>
  <c r="K397" i="17"/>
  <c r="K405" i="17"/>
  <c r="K318" i="17"/>
  <c r="K334" i="17"/>
  <c r="K129" i="17"/>
  <c r="K137" i="17"/>
  <c r="K145" i="17"/>
  <c r="K153" i="17"/>
  <c r="K161" i="17"/>
  <c r="K169" i="17"/>
  <c r="K177" i="17"/>
  <c r="K185" i="17"/>
  <c r="K193" i="17"/>
  <c r="K201" i="17"/>
  <c r="K209" i="17"/>
  <c r="K217" i="17"/>
  <c r="K225" i="17"/>
  <c r="K233" i="17"/>
  <c r="K241" i="17"/>
  <c r="K249" i="17"/>
  <c r="K257" i="17"/>
  <c r="K265" i="17"/>
  <c r="K273" i="17"/>
  <c r="K281" i="17"/>
  <c r="K289" i="17"/>
  <c r="K297" i="17"/>
  <c r="K305" i="17"/>
  <c r="K313" i="17"/>
  <c r="K116" i="17"/>
  <c r="K124" i="17"/>
  <c r="K132" i="17"/>
  <c r="K140" i="17"/>
  <c r="K148" i="17"/>
  <c r="K156" i="17"/>
  <c r="K164" i="17"/>
  <c r="K172" i="17"/>
  <c r="K180" i="17"/>
  <c r="K188" i="17"/>
  <c r="K196" i="17"/>
  <c r="K204" i="17"/>
  <c r="K212" i="17"/>
  <c r="K220" i="17"/>
  <c r="K228" i="17"/>
  <c r="K236" i="17"/>
  <c r="K244" i="17"/>
  <c r="K252" i="17"/>
  <c r="K260" i="17"/>
  <c r="K268" i="17"/>
  <c r="K276" i="17"/>
  <c r="K284" i="17"/>
  <c r="K292" i="17"/>
  <c r="K300" i="17"/>
  <c r="K308" i="17"/>
  <c r="L316" i="17"/>
  <c r="L324" i="17"/>
  <c r="L332" i="17"/>
  <c r="L340" i="17"/>
  <c r="L348" i="17"/>
  <c r="L356" i="17"/>
  <c r="L364" i="17"/>
  <c r="L372" i="17"/>
  <c r="L380" i="17"/>
  <c r="L390" i="17"/>
  <c r="L406" i="17"/>
  <c r="K336" i="17"/>
  <c r="K352" i="17"/>
  <c r="K368" i="17"/>
  <c r="K384" i="17"/>
  <c r="K400" i="17"/>
  <c r="K416" i="17"/>
  <c r="K432" i="17"/>
  <c r="K448" i="17"/>
  <c r="K464" i="17"/>
  <c r="K480" i="17"/>
  <c r="K496" i="17"/>
  <c r="K512" i="17"/>
  <c r="K425" i="17"/>
  <c r="K441" i="17"/>
  <c r="K457" i="17"/>
  <c r="K473" i="17"/>
  <c r="K489" i="17"/>
  <c r="K505" i="17"/>
  <c r="L520" i="17"/>
  <c r="L536" i="17"/>
  <c r="L561" i="17"/>
  <c r="L593" i="17"/>
  <c r="K536" i="17"/>
  <c r="K560" i="17"/>
  <c r="K592" i="17"/>
  <c r="L558" i="17"/>
  <c r="L574" i="17"/>
  <c r="L590" i="17"/>
  <c r="K606" i="17"/>
  <c r="K603" i="17"/>
  <c r="K409" i="17"/>
  <c r="L323" i="17"/>
  <c r="L339" i="17"/>
  <c r="L355" i="17"/>
  <c r="L371" i="17"/>
  <c r="L387" i="17"/>
  <c r="L403" i="17"/>
  <c r="L419" i="17"/>
  <c r="L435" i="17"/>
  <c r="L451" i="17"/>
  <c r="L467" i="17"/>
  <c r="L483" i="17"/>
  <c r="L499" i="17"/>
  <c r="L515" i="17"/>
  <c r="L428" i="17"/>
  <c r="L444" i="17"/>
  <c r="L460" i="17"/>
  <c r="L476" i="17"/>
  <c r="L492" i="17"/>
  <c r="L508" i="17"/>
  <c r="K523" i="17"/>
  <c r="K539" i="17"/>
  <c r="L567" i="17"/>
  <c r="L523" i="17"/>
  <c r="L539" i="17"/>
  <c r="K566" i="17"/>
  <c r="K545" i="17"/>
  <c r="K561" i="17"/>
  <c r="K577" i="17"/>
  <c r="K593" i="17"/>
  <c r="L609" i="17"/>
  <c r="L606" i="17"/>
  <c r="M67" i="17"/>
  <c r="M76" i="17"/>
  <c r="M199" i="17"/>
  <c r="N74" i="17"/>
  <c r="M111" i="17"/>
  <c r="N36" i="17"/>
  <c r="N123" i="17"/>
  <c r="N57" i="17"/>
  <c r="N200" i="17"/>
  <c r="N251" i="17"/>
  <c r="M41" i="17"/>
  <c r="M108" i="17"/>
  <c r="M44" i="17"/>
  <c r="M85" i="17"/>
  <c r="N100" i="17"/>
  <c r="Y100" i="17" s="1"/>
  <c r="N89" i="17"/>
  <c r="N25" i="17"/>
  <c r="N136" i="17"/>
  <c r="N264" i="17"/>
  <c r="N187" i="17"/>
  <c r="N341" i="17"/>
  <c r="M315" i="17"/>
  <c r="N469" i="17"/>
  <c r="M379" i="17"/>
  <c r="N405" i="17"/>
  <c r="M495" i="17"/>
  <c r="M555" i="17"/>
  <c r="M431" i="17"/>
  <c r="M570" i="17"/>
  <c r="M251" i="17"/>
  <c r="N110" i="17"/>
  <c r="M81" i="17"/>
  <c r="N106" i="17"/>
  <c r="N42" i="17"/>
  <c r="M92" i="17"/>
  <c r="M60" i="17"/>
  <c r="M28" i="17"/>
  <c r="M175" i="17"/>
  <c r="M99" i="17"/>
  <c r="M35" i="17"/>
  <c r="N68" i="17"/>
  <c r="N105" i="17"/>
  <c r="N73" i="17"/>
  <c r="N41" i="17"/>
  <c r="M123" i="17"/>
  <c r="M189" i="17"/>
  <c r="N168" i="17"/>
  <c r="N232" i="17"/>
  <c r="N296" i="17"/>
  <c r="N155" i="17"/>
  <c r="N219" i="17"/>
  <c r="Y219" i="17" s="1"/>
  <c r="N283" i="17"/>
  <c r="M347" i="17"/>
  <c r="M411" i="17"/>
  <c r="N373" i="17"/>
  <c r="N437" i="17"/>
  <c r="N501" i="17"/>
  <c r="M463" i="17"/>
  <c r="M525" i="17"/>
  <c r="M540" i="17"/>
  <c r="N600" i="17"/>
  <c r="M137" i="17"/>
  <c r="N142" i="17"/>
  <c r="M622" i="17"/>
  <c r="M57" i="17"/>
  <c r="M25" i="17"/>
  <c r="N90" i="17"/>
  <c r="N58" i="17"/>
  <c r="N26" i="17"/>
  <c r="M100" i="17"/>
  <c r="M84" i="17"/>
  <c r="M68" i="17"/>
  <c r="M52" i="17"/>
  <c r="M36" i="17"/>
  <c r="M20" i="17"/>
  <c r="M143" i="17"/>
  <c r="N626" i="17"/>
  <c r="M626" i="17"/>
  <c r="M83" i="17"/>
  <c r="M51" i="17"/>
  <c r="M19" i="17"/>
  <c r="N84" i="17"/>
  <c r="N52" i="17"/>
  <c r="N20" i="17"/>
  <c r="N97" i="17"/>
  <c r="N81" i="17"/>
  <c r="N65" i="17"/>
  <c r="N49" i="17"/>
  <c r="N33" i="17"/>
  <c r="N17" i="17"/>
  <c r="M155" i="17"/>
  <c r="M157" i="17"/>
  <c r="N120" i="17"/>
  <c r="N152" i="17"/>
  <c r="N184" i="17"/>
  <c r="N216" i="17"/>
  <c r="N248" i="17"/>
  <c r="N280" i="17"/>
  <c r="N312" i="17"/>
  <c r="N139" i="17"/>
  <c r="N171" i="17"/>
  <c r="N203" i="17"/>
  <c r="N235" i="17"/>
  <c r="N267" i="17"/>
  <c r="N299" i="17"/>
  <c r="M331" i="17"/>
  <c r="M363" i="17"/>
  <c r="M395" i="17"/>
  <c r="N325" i="17"/>
  <c r="N357" i="17"/>
  <c r="N389" i="17"/>
  <c r="N421" i="17"/>
  <c r="N453" i="17"/>
  <c r="N485" i="17"/>
  <c r="N517" i="17"/>
  <c r="M447" i="17"/>
  <c r="M479" i="17"/>
  <c r="M511" i="17"/>
  <c r="M541" i="17"/>
  <c r="M524" i="17"/>
  <c r="N569" i="17"/>
  <c r="M587" i="17"/>
  <c r="M219" i="17"/>
  <c r="M195" i="17"/>
  <c r="M169" i="17"/>
  <c r="N126" i="17"/>
  <c r="N158" i="17"/>
  <c r="N174" i="17"/>
  <c r="N190" i="17"/>
  <c r="N206" i="17"/>
  <c r="N222" i="17"/>
  <c r="N238" i="17"/>
  <c r="N254" i="17"/>
  <c r="N270" i="17"/>
  <c r="N286" i="17"/>
  <c r="N302" i="17"/>
  <c r="N113" i="17"/>
  <c r="N129" i="17"/>
  <c r="M97" i="17"/>
  <c r="M65" i="17"/>
  <c r="M49" i="17"/>
  <c r="M33" i="17"/>
  <c r="M17" i="17"/>
  <c r="N98" i="17"/>
  <c r="N82" i="17"/>
  <c r="N66" i="17"/>
  <c r="N50" i="17"/>
  <c r="N34" i="17"/>
  <c r="N18" i="17"/>
  <c r="M104" i="17"/>
  <c r="M96" i="17"/>
  <c r="M88" i="17"/>
  <c r="M80" i="17"/>
  <c r="M72" i="17"/>
  <c r="M64" i="17"/>
  <c r="M56" i="17"/>
  <c r="M48" i="17"/>
  <c r="M40" i="17"/>
  <c r="M32" i="17"/>
  <c r="M24" i="17"/>
  <c r="M16" i="17"/>
  <c r="M127" i="17"/>
  <c r="M159" i="17"/>
  <c r="M117" i="17"/>
  <c r="M101" i="17"/>
  <c r="M69" i="17"/>
  <c r="M107" i="17"/>
  <c r="M91" i="17"/>
  <c r="M75" i="17"/>
  <c r="M59" i="17"/>
  <c r="M43" i="17"/>
  <c r="M27" i="17"/>
  <c r="N108" i="17"/>
  <c r="N92" i="17"/>
  <c r="N76" i="17"/>
  <c r="N60" i="17"/>
  <c r="N44" i="17"/>
  <c r="N28" i="17"/>
  <c r="N109" i="17"/>
  <c r="N101" i="17"/>
  <c r="N93" i="17"/>
  <c r="N85" i="17"/>
  <c r="N77" i="17"/>
  <c r="N69" i="17"/>
  <c r="N61" i="17"/>
  <c r="N53" i="17"/>
  <c r="N45" i="17"/>
  <c r="N37" i="17"/>
  <c r="N29" i="17"/>
  <c r="N21" i="17"/>
  <c r="N13" i="17"/>
  <c r="M139" i="17"/>
  <c r="M171" i="17"/>
  <c r="M141" i="17"/>
  <c r="M173" i="17"/>
  <c r="N112" i="17"/>
  <c r="N128" i="17"/>
  <c r="N144" i="17"/>
  <c r="N160" i="17"/>
  <c r="Y160" i="17" s="1"/>
  <c r="N176" i="17"/>
  <c r="N192" i="17"/>
  <c r="N208" i="17"/>
  <c r="N224" i="17"/>
  <c r="N240" i="17"/>
  <c r="N256" i="17"/>
  <c r="N272" i="17"/>
  <c r="N288" i="17"/>
  <c r="N304" i="17"/>
  <c r="N115" i="17"/>
  <c r="N131" i="17"/>
  <c r="N147" i="17"/>
  <c r="N163" i="17"/>
  <c r="N179" i="17"/>
  <c r="N195" i="17"/>
  <c r="N211" i="17"/>
  <c r="N227" i="17"/>
  <c r="N243" i="17"/>
  <c r="N259" i="17"/>
  <c r="N275" i="17"/>
  <c r="N291" i="17"/>
  <c r="N307" i="17"/>
  <c r="M323" i="17"/>
  <c r="M339" i="17"/>
  <c r="X339" i="17" s="1"/>
  <c r="M355" i="17"/>
  <c r="M371" i="17"/>
  <c r="M387" i="17"/>
  <c r="M403" i="17"/>
  <c r="N317" i="17"/>
  <c r="N333" i="17"/>
  <c r="N349" i="17"/>
  <c r="N365" i="17"/>
  <c r="N381" i="17"/>
  <c r="N397" i="17"/>
  <c r="N413" i="17"/>
  <c r="N429" i="17"/>
  <c r="N445" i="17"/>
  <c r="N461" i="17"/>
  <c r="N477" i="17"/>
  <c r="N493" i="17"/>
  <c r="N509" i="17"/>
  <c r="M423" i="17"/>
  <c r="M439" i="17"/>
  <c r="M455" i="17"/>
  <c r="M471" i="17"/>
  <c r="M487" i="17"/>
  <c r="M503" i="17"/>
  <c r="M520" i="17"/>
  <c r="M533" i="17"/>
  <c r="M554" i="17"/>
  <c r="M586" i="17"/>
  <c r="M532" i="17"/>
  <c r="N553" i="17"/>
  <c r="N585" i="17"/>
  <c r="M571" i="17"/>
  <c r="N603" i="17"/>
  <c r="M203" i="17"/>
  <c r="M235" i="17"/>
  <c r="M179" i="17"/>
  <c r="M121" i="17"/>
  <c r="M153" i="17"/>
  <c r="M185" i="17"/>
  <c r="N118" i="17"/>
  <c r="N134" i="17"/>
  <c r="N150" i="17"/>
  <c r="N166" i="17"/>
  <c r="N182" i="17"/>
  <c r="N198" i="17"/>
  <c r="N214" i="17"/>
  <c r="N230" i="17"/>
  <c r="N246" i="17"/>
  <c r="N262" i="17"/>
  <c r="N278" i="17"/>
  <c r="N294" i="17"/>
  <c r="N310" i="17"/>
  <c r="N121" i="17"/>
  <c r="N137" i="17"/>
  <c r="N145" i="17"/>
  <c r="N153" i="17"/>
  <c r="N161" i="17"/>
  <c r="N169" i="17"/>
  <c r="N177" i="17"/>
  <c r="N185" i="17"/>
  <c r="N193" i="17"/>
  <c r="N201" i="17"/>
  <c r="N209" i="17"/>
  <c r="N217" i="17"/>
  <c r="N225" i="17"/>
  <c r="N233" i="17"/>
  <c r="N241" i="17"/>
  <c r="N249" i="17"/>
  <c r="N257" i="17"/>
  <c r="N265" i="17"/>
  <c r="N273" i="17"/>
  <c r="N281" i="17"/>
  <c r="N289" i="17"/>
  <c r="N297" i="17"/>
  <c r="N305" i="17"/>
  <c r="N313" i="17"/>
  <c r="M321" i="17"/>
  <c r="M329" i="17"/>
  <c r="M345" i="17"/>
  <c r="M361" i="17"/>
  <c r="M377" i="17"/>
  <c r="M393" i="17"/>
  <c r="M409" i="17"/>
  <c r="N323" i="17"/>
  <c r="N339" i="17"/>
  <c r="N355" i="17"/>
  <c r="N371" i="17"/>
  <c r="N387" i="17"/>
  <c r="N403" i="17"/>
  <c r="N419" i="17"/>
  <c r="N435" i="17"/>
  <c r="N451" i="17"/>
  <c r="N467" i="17"/>
  <c r="N483" i="17"/>
  <c r="N499" i="17"/>
  <c r="N515" i="17"/>
  <c r="M429" i="17"/>
  <c r="M445" i="17"/>
  <c r="M461" i="17"/>
  <c r="M477" i="17"/>
  <c r="M493" i="17"/>
  <c r="M509" i="17"/>
  <c r="M523" i="17"/>
  <c r="M539" i="17"/>
  <c r="M566" i="17"/>
  <c r="M522" i="17"/>
  <c r="M538" i="17"/>
  <c r="N565" i="17"/>
  <c r="M551" i="17"/>
  <c r="M583" i="17"/>
  <c r="N596" i="17"/>
  <c r="M215" i="17"/>
  <c r="M247" i="17"/>
  <c r="M271" i="17"/>
  <c r="M287" i="17"/>
  <c r="M303" i="17"/>
  <c r="M114" i="17"/>
  <c r="M130" i="17"/>
  <c r="M146" i="17"/>
  <c r="M162" i="17"/>
  <c r="M178" i="17"/>
  <c r="M194" i="17"/>
  <c r="M210" i="17"/>
  <c r="M226" i="17"/>
  <c r="M242" i="17"/>
  <c r="M258" i="17"/>
  <c r="M274" i="17"/>
  <c r="M290" i="17"/>
  <c r="M306" i="17"/>
  <c r="N322" i="17"/>
  <c r="N338" i="17"/>
  <c r="N354" i="17"/>
  <c r="N370" i="17"/>
  <c r="N386" i="17"/>
  <c r="N402" i="17"/>
  <c r="M316" i="17"/>
  <c r="M332" i="17"/>
  <c r="M348" i="17"/>
  <c r="M364" i="17"/>
  <c r="M380" i="17"/>
  <c r="M396" i="17"/>
  <c r="M412" i="17"/>
  <c r="M428" i="17"/>
  <c r="M444" i="17"/>
  <c r="M460" i="17"/>
  <c r="M476" i="17"/>
  <c r="M492" i="17"/>
  <c r="M508" i="17"/>
  <c r="N422" i="17"/>
  <c r="N438" i="17"/>
  <c r="N454" i="17"/>
  <c r="N470" i="17"/>
  <c r="N486" i="17"/>
  <c r="N502" i="17"/>
  <c r="M518" i="17"/>
  <c r="N532" i="17"/>
  <c r="M552" i="17"/>
  <c r="M584" i="17"/>
  <c r="N531" i="17"/>
  <c r="N551" i="17"/>
  <c r="N583" i="17"/>
  <c r="N554" i="17"/>
  <c r="N570" i="17"/>
  <c r="N586" i="17"/>
  <c r="M602" i="17"/>
  <c r="M599" i="17"/>
  <c r="N589" i="17"/>
  <c r="M557" i="17"/>
  <c r="M573" i="17"/>
  <c r="M589" i="17"/>
  <c r="N605" i="17"/>
  <c r="N602" i="17"/>
  <c r="M205" i="17"/>
  <c r="M221" i="17"/>
  <c r="M237" i="17"/>
  <c r="M253" i="17"/>
  <c r="M269" i="17"/>
  <c r="M285" i="17"/>
  <c r="M301" i="17"/>
  <c r="M112" i="17"/>
  <c r="M128" i="17"/>
  <c r="M144" i="17"/>
  <c r="M168" i="17"/>
  <c r="M200" i="17"/>
  <c r="M232" i="17"/>
  <c r="M264" i="17"/>
  <c r="M296" i="17"/>
  <c r="N328" i="17"/>
  <c r="N360" i="17"/>
  <c r="N392" i="17"/>
  <c r="M322" i="17"/>
  <c r="M354" i="17"/>
  <c r="M386" i="17"/>
  <c r="M418" i="17"/>
  <c r="M450" i="17"/>
  <c r="M482" i="17"/>
  <c r="M514" i="17"/>
  <c r="N444" i="17"/>
  <c r="N476" i="17"/>
  <c r="N508" i="17"/>
  <c r="N538" i="17"/>
  <c r="N521" i="17"/>
  <c r="N563" i="17"/>
  <c r="N560" i="17"/>
  <c r="M613" i="17"/>
  <c r="M597" i="17"/>
  <c r="M600" i="17"/>
  <c r="N584" i="17"/>
  <c r="N568" i="17"/>
  <c r="N552" i="17"/>
  <c r="N579" i="17"/>
  <c r="N547" i="17"/>
  <c r="N529" i="17"/>
  <c r="M580" i="17"/>
  <c r="M548" i="17"/>
  <c r="N530" i="17"/>
  <c r="N516" i="17"/>
  <c r="N500" i="17"/>
  <c r="N484" i="17"/>
  <c r="N468" i="17"/>
  <c r="N452" i="17"/>
  <c r="N436" i="17"/>
  <c r="N420" i="17"/>
  <c r="M506" i="17"/>
  <c r="M490" i="17"/>
  <c r="M474" i="17"/>
  <c r="M458" i="17"/>
  <c r="M442" i="17"/>
  <c r="M426" i="17"/>
  <c r="M410" i="17"/>
  <c r="M394" i="17"/>
  <c r="M378" i="17"/>
  <c r="M362" i="17"/>
  <c r="M346" i="17"/>
  <c r="M330" i="17"/>
  <c r="N416" i="17"/>
  <c r="N400" i="17"/>
  <c r="N384" i="17"/>
  <c r="N368" i="17"/>
  <c r="N352" i="17"/>
  <c r="N336" i="17"/>
  <c r="N320" i="17"/>
  <c r="M304" i="17"/>
  <c r="M288" i="17"/>
  <c r="M272" i="17"/>
  <c r="M256" i="17"/>
  <c r="M240" i="17"/>
  <c r="M224" i="17"/>
  <c r="M208" i="17"/>
  <c r="M192" i="17"/>
  <c r="M176" i="17"/>
  <c r="M160" i="17"/>
  <c r="M148" i="17"/>
  <c r="M140" i="17"/>
  <c r="M132" i="17"/>
  <c r="M124" i="17"/>
  <c r="M116" i="17"/>
  <c r="M313" i="17"/>
  <c r="M305" i="17"/>
  <c r="M297" i="17"/>
  <c r="M289" i="17"/>
  <c r="M281" i="17"/>
  <c r="M273" i="17"/>
  <c r="M265" i="17"/>
  <c r="M257" i="17"/>
  <c r="M249" i="17"/>
  <c r="M241" i="17"/>
  <c r="M233" i="17"/>
  <c r="M225" i="17"/>
  <c r="M217" i="17"/>
  <c r="M209" i="17"/>
  <c r="M201" i="17"/>
  <c r="N606" i="17"/>
  <c r="N598" i="17"/>
  <c r="N609" i="17"/>
  <c r="N601" i="17"/>
  <c r="M593" i="17"/>
  <c r="M585" i="17"/>
  <c r="M577" i="17"/>
  <c r="M569" i="17"/>
  <c r="M561" i="17"/>
  <c r="M553" i="17"/>
  <c r="M545" i="17"/>
  <c r="M611" i="17"/>
  <c r="M603" i="17"/>
  <c r="M595" i="17"/>
  <c r="M606" i="17"/>
  <c r="M598" i="17"/>
  <c r="N590" i="17"/>
  <c r="N582" i="17"/>
  <c r="N574" i="17"/>
  <c r="N566" i="17"/>
  <c r="N558" i="17"/>
  <c r="N550" i="17"/>
  <c r="N591" i="17"/>
  <c r="N575" i="17"/>
  <c r="N559" i="17"/>
  <c r="N543" i="17"/>
  <c r="N535" i="17"/>
  <c r="N527" i="17"/>
  <c r="M592" i="17"/>
  <c r="M576" i="17"/>
  <c r="M560" i="17"/>
  <c r="M544" i="17"/>
  <c r="N536" i="17"/>
  <c r="N528" i="17"/>
  <c r="N520" i="17"/>
  <c r="N514" i="17"/>
  <c r="N506" i="17"/>
  <c r="N498" i="17"/>
  <c r="N490" i="17"/>
  <c r="N482" i="17"/>
  <c r="N474" i="17"/>
  <c r="N466" i="17"/>
  <c r="N458" i="17"/>
  <c r="N450" i="17"/>
  <c r="N442" i="17"/>
  <c r="N434" i="17"/>
  <c r="N426" i="17"/>
  <c r="N418" i="17"/>
  <c r="M512" i="17"/>
  <c r="M504" i="17"/>
  <c r="M496" i="17"/>
  <c r="M488" i="17"/>
  <c r="M480" i="17"/>
  <c r="M472" i="17"/>
  <c r="M464" i="17"/>
  <c r="M456" i="17"/>
  <c r="M448" i="17"/>
  <c r="M440" i="17"/>
  <c r="M432" i="17"/>
  <c r="M424" i="17"/>
  <c r="M416" i="17"/>
  <c r="M408" i="17"/>
  <c r="M400" i="17"/>
  <c r="M392" i="17"/>
  <c r="M384" i="17"/>
  <c r="M376" i="17"/>
  <c r="M368" i="17"/>
  <c r="M360" i="17"/>
  <c r="M352" i="17"/>
  <c r="M344" i="17"/>
  <c r="M336" i="17"/>
  <c r="M328" i="17"/>
  <c r="M320" i="17"/>
  <c r="N414" i="17"/>
  <c r="N406" i="17"/>
  <c r="N398" i="17"/>
  <c r="N390" i="17"/>
  <c r="N382" i="17"/>
  <c r="N374" i="17"/>
  <c r="N366" i="17"/>
  <c r="N358" i="17"/>
  <c r="N350" i="17"/>
  <c r="N342" i="17"/>
  <c r="N334" i="17"/>
  <c r="N326" i="17"/>
  <c r="N318" i="17"/>
  <c r="M310" i="17"/>
  <c r="M302" i="17"/>
  <c r="M294" i="17"/>
  <c r="M286" i="17"/>
  <c r="M278" i="17"/>
  <c r="M270" i="17"/>
  <c r="M262" i="17"/>
  <c r="M254" i="17"/>
  <c r="M246" i="17"/>
  <c r="M238" i="17"/>
  <c r="M230" i="17"/>
  <c r="M222" i="17"/>
  <c r="M214" i="17"/>
  <c r="M206" i="17"/>
  <c r="M198" i="17"/>
  <c r="M190" i="17"/>
  <c r="M182" i="17"/>
  <c r="M174" i="17"/>
  <c r="M166" i="17"/>
  <c r="M158" i="17"/>
  <c r="M150" i="17"/>
  <c r="M142" i="17"/>
  <c r="M134" i="17"/>
  <c r="M126" i="17"/>
  <c r="M118" i="17"/>
  <c r="M110" i="17"/>
  <c r="M307" i="17"/>
  <c r="M299" i="17"/>
  <c r="M291" i="17"/>
  <c r="M283" i="17"/>
  <c r="M275" i="17"/>
  <c r="M267" i="17"/>
  <c r="M255" i="17"/>
  <c r="M239" i="17"/>
  <c r="M223" i="17"/>
  <c r="M207" i="17"/>
  <c r="N604" i="17"/>
  <c r="N607" i="17"/>
  <c r="M591" i="17"/>
  <c r="M575" i="17"/>
  <c r="M559" i="17"/>
  <c r="N593" i="17"/>
  <c r="N573" i="17"/>
  <c r="N557" i="17"/>
  <c r="M542" i="17"/>
  <c r="M534" i="17"/>
  <c r="M526" i="17"/>
  <c r="M590" i="17"/>
  <c r="M574" i="17"/>
  <c r="M558" i="17"/>
  <c r="M543" i="17"/>
  <c r="M535" i="17"/>
  <c r="M527" i="17"/>
  <c r="M519" i="17"/>
  <c r="M513" i="17"/>
  <c r="M505" i="17"/>
  <c r="M497" i="17"/>
  <c r="M489" i="17"/>
  <c r="M481" i="17"/>
  <c r="M473" i="17"/>
  <c r="M465" i="17"/>
  <c r="M457" i="17"/>
  <c r="M449" i="17"/>
  <c r="M441" i="17"/>
  <c r="M433" i="17"/>
  <c r="M425" i="17"/>
  <c r="M417" i="17"/>
  <c r="N511" i="17"/>
  <c r="N503" i="17"/>
  <c r="N495" i="17"/>
  <c r="N487" i="17"/>
  <c r="N479" i="17"/>
  <c r="N471" i="17"/>
  <c r="N463" i="17"/>
  <c r="N455" i="17"/>
  <c r="N447" i="17"/>
  <c r="N439" i="17"/>
  <c r="N431" i="17"/>
  <c r="N423" i="17"/>
  <c r="N415" i="17"/>
  <c r="N407" i="17"/>
  <c r="N399" i="17"/>
  <c r="N391" i="17"/>
  <c r="N383" i="17"/>
  <c r="N375" i="17"/>
  <c r="N367" i="17"/>
  <c r="N359" i="17"/>
  <c r="N351" i="17"/>
  <c r="N343" i="17"/>
  <c r="N335" i="17"/>
  <c r="N327" i="17"/>
  <c r="N319" i="17"/>
  <c r="M413" i="17"/>
  <c r="M405" i="17"/>
  <c r="M397" i="17"/>
  <c r="M389" i="17"/>
  <c r="M381" i="17"/>
  <c r="M373" i="17"/>
  <c r="M365" i="17"/>
  <c r="X365" i="17" s="1"/>
  <c r="M357" i="17"/>
  <c r="M349" i="17"/>
  <c r="M341" i="17"/>
  <c r="M333" i="17"/>
  <c r="N623" i="17"/>
  <c r="M105" i="17"/>
  <c r="M89" i="17"/>
  <c r="M73" i="17"/>
  <c r="M61" i="17"/>
  <c r="M53" i="17"/>
  <c r="M45" i="17"/>
  <c r="M37" i="17"/>
  <c r="M29" i="17"/>
  <c r="M21" i="17"/>
  <c r="M13" i="17"/>
  <c r="N102" i="17"/>
  <c r="N94" i="17"/>
  <c r="N86" i="17"/>
  <c r="N78" i="17"/>
  <c r="N70" i="17"/>
  <c r="N62" i="17"/>
  <c r="N54" i="17"/>
  <c r="N46" i="17"/>
  <c r="N38" i="17"/>
  <c r="N30" i="17"/>
  <c r="N22" i="17"/>
  <c r="N14" i="17"/>
  <c r="M106" i="17"/>
  <c r="M102" i="17"/>
  <c r="M98" i="17"/>
  <c r="M94" i="17"/>
  <c r="M90" i="17"/>
  <c r="M86" i="17"/>
  <c r="M82" i="17"/>
  <c r="M78" i="17"/>
  <c r="M74" i="17"/>
  <c r="M70" i="17"/>
  <c r="M66" i="17"/>
  <c r="M62" i="17"/>
  <c r="M58" i="17"/>
  <c r="M54" i="17"/>
  <c r="M50" i="17"/>
  <c r="M46" i="17"/>
  <c r="M42" i="17"/>
  <c r="M38" i="17"/>
  <c r="M34" i="17"/>
  <c r="M30" i="17"/>
  <c r="M26" i="17"/>
  <c r="M22" i="17"/>
  <c r="M18" i="17"/>
  <c r="M14" i="17"/>
  <c r="M119" i="17"/>
  <c r="M135" i="17"/>
  <c r="M151" i="17"/>
  <c r="M167" i="17"/>
  <c r="M191" i="17"/>
  <c r="M133" i="17"/>
  <c r="M109" i="17"/>
  <c r="M93" i="17"/>
  <c r="M77" i="17"/>
  <c r="M623" i="17"/>
  <c r="N622" i="17"/>
  <c r="M103" i="17"/>
  <c r="M95" i="17"/>
  <c r="M87" i="17"/>
  <c r="M79" i="17"/>
  <c r="M71" i="17"/>
  <c r="M63" i="17"/>
  <c r="M55" i="17"/>
  <c r="M47" i="17"/>
  <c r="M39" i="17"/>
  <c r="M31" i="17"/>
  <c r="M23" i="17"/>
  <c r="M15" i="17"/>
  <c r="N104" i="17"/>
  <c r="N96" i="17"/>
  <c r="N88" i="17"/>
  <c r="N80" i="17"/>
  <c r="N72" i="17"/>
  <c r="N64" i="17"/>
  <c r="N56" i="17"/>
  <c r="N48" i="17"/>
  <c r="N40" i="17"/>
  <c r="N32" i="17"/>
  <c r="N24" i="17"/>
  <c r="N16" i="17"/>
  <c r="N107" i="17"/>
  <c r="N103" i="17"/>
  <c r="N99" i="17"/>
  <c r="N95" i="17"/>
  <c r="N91" i="17"/>
  <c r="N87" i="17"/>
  <c r="N83" i="17"/>
  <c r="N79" i="17"/>
  <c r="N75" i="17"/>
  <c r="N71" i="17"/>
  <c r="N67" i="17"/>
  <c r="N63" i="17"/>
  <c r="N59" i="17"/>
  <c r="N55" i="17"/>
  <c r="N51" i="17"/>
  <c r="N47" i="17"/>
  <c r="N43" i="17"/>
  <c r="N39" i="17"/>
  <c r="N35" i="17"/>
  <c r="N31" i="17"/>
  <c r="N27" i="17"/>
  <c r="N23" i="17"/>
  <c r="N19" i="17"/>
  <c r="N15" i="17"/>
  <c r="M115" i="17"/>
  <c r="M131" i="17"/>
  <c r="M147" i="17"/>
  <c r="M163" i="17"/>
  <c r="M183" i="17"/>
  <c r="M125" i="17"/>
  <c r="M149" i="17"/>
  <c r="M165" i="17"/>
  <c r="M181" i="17"/>
  <c r="M197" i="17"/>
  <c r="N116" i="17"/>
  <c r="N124" i="17"/>
  <c r="N132" i="17"/>
  <c r="N140" i="17"/>
  <c r="N148" i="17"/>
  <c r="N156" i="17"/>
  <c r="N164" i="17"/>
  <c r="N172" i="17"/>
  <c r="N180" i="17"/>
  <c r="N188" i="17"/>
  <c r="N196" i="17"/>
  <c r="N204" i="17"/>
  <c r="N212" i="17"/>
  <c r="N220" i="17"/>
  <c r="N228" i="17"/>
  <c r="N236" i="17"/>
  <c r="N244" i="17"/>
  <c r="N252" i="17"/>
  <c r="N260" i="17"/>
  <c r="N268" i="17"/>
  <c r="N276" i="17"/>
  <c r="N284" i="17"/>
  <c r="N292" i="17"/>
  <c r="N300" i="17"/>
  <c r="N308" i="17"/>
  <c r="N111" i="17"/>
  <c r="N119" i="17"/>
  <c r="N127" i="17"/>
  <c r="N135" i="17"/>
  <c r="N143" i="17"/>
  <c r="N151" i="17"/>
  <c r="N159" i="17"/>
  <c r="N167" i="17"/>
  <c r="N175" i="17"/>
  <c r="N183" i="17"/>
  <c r="N191" i="17"/>
  <c r="N199" i="17"/>
  <c r="N207" i="17"/>
  <c r="N215" i="17"/>
  <c r="N223" i="17"/>
  <c r="N231" i="17"/>
  <c r="N239" i="17"/>
  <c r="N247" i="17"/>
  <c r="N255" i="17"/>
  <c r="N263" i="17"/>
  <c r="N271" i="17"/>
  <c r="N279" i="17"/>
  <c r="N287" i="17"/>
  <c r="N295" i="17"/>
  <c r="N303" i="17"/>
  <c r="N311" i="17"/>
  <c r="M319" i="17"/>
  <c r="M327" i="17"/>
  <c r="M335" i="17"/>
  <c r="M343" i="17"/>
  <c r="M351" i="17"/>
  <c r="M359" i="17"/>
  <c r="M367" i="17"/>
  <c r="M375" i="17"/>
  <c r="M383" i="17"/>
  <c r="M391" i="17"/>
  <c r="M399" i="17"/>
  <c r="M407" i="17"/>
  <c r="M415" i="17"/>
  <c r="N321" i="17"/>
  <c r="N329" i="17"/>
  <c r="N337" i="17"/>
  <c r="N345" i="17"/>
  <c r="N353" i="17"/>
  <c r="N361" i="17"/>
  <c r="N369" i="17"/>
  <c r="N377" i="17"/>
  <c r="N385" i="17"/>
  <c r="N393" i="17"/>
  <c r="N401" i="17"/>
  <c r="N409" i="17"/>
  <c r="N417" i="17"/>
  <c r="N425" i="17"/>
  <c r="N433" i="17"/>
  <c r="N441" i="17"/>
  <c r="N449" i="17"/>
  <c r="N457" i="17"/>
  <c r="N465" i="17"/>
  <c r="N473" i="17"/>
  <c r="N481" i="17"/>
  <c r="N489" i="17"/>
  <c r="N497" i="17"/>
  <c r="N505" i="17"/>
  <c r="N513" i="17"/>
  <c r="M419" i="17"/>
  <c r="M427" i="17"/>
  <c r="M435" i="17"/>
  <c r="M443" i="17"/>
  <c r="M451" i="17"/>
  <c r="M459" i="17"/>
  <c r="M467" i="17"/>
  <c r="M475" i="17"/>
  <c r="M483" i="17"/>
  <c r="M491" i="17"/>
  <c r="M499" i="17"/>
  <c r="M507" i="17"/>
  <c r="M515" i="17"/>
  <c r="M521" i="17"/>
  <c r="M529" i="17"/>
  <c r="M537" i="17"/>
  <c r="M546" i="17"/>
  <c r="M562" i="17"/>
  <c r="M578" i="17"/>
  <c r="M594" i="17"/>
  <c r="M528" i="17"/>
  <c r="M536" i="17"/>
  <c r="N545" i="17"/>
  <c r="N561" i="17"/>
  <c r="N577" i="17"/>
  <c r="M547" i="17"/>
  <c r="M563" i="17"/>
  <c r="M579" i="17"/>
  <c r="N595" i="17"/>
  <c r="N611" i="17"/>
  <c r="N608" i="17"/>
  <c r="M211" i="17"/>
  <c r="M227" i="17"/>
  <c r="M243" i="17"/>
  <c r="M259" i="17"/>
  <c r="M187" i="17"/>
  <c r="M113" i="17"/>
  <c r="M129" i="17"/>
  <c r="M145" i="17"/>
  <c r="M161" i="17"/>
  <c r="M177" i="17"/>
  <c r="M193" i="17"/>
  <c r="N114" i="17"/>
  <c r="N122" i="17"/>
  <c r="N130" i="17"/>
  <c r="N138" i="17"/>
  <c r="N146" i="17"/>
  <c r="N154" i="17"/>
  <c r="N162" i="17"/>
  <c r="N170" i="17"/>
  <c r="N178" i="17"/>
  <c r="N186" i="17"/>
  <c r="N194" i="17"/>
  <c r="N202" i="17"/>
  <c r="N210" i="17"/>
  <c r="N218" i="17"/>
  <c r="N226" i="17"/>
  <c r="N234" i="17"/>
  <c r="N242" i="17"/>
  <c r="N250" i="17"/>
  <c r="N258" i="17"/>
  <c r="N266" i="17"/>
  <c r="N274" i="17"/>
  <c r="N282" i="17"/>
  <c r="N290" i="17"/>
  <c r="N298" i="17"/>
  <c r="N306" i="17"/>
  <c r="N314" i="17"/>
  <c r="N117" i="17"/>
  <c r="N125" i="17"/>
  <c r="N133" i="17"/>
  <c r="N141" i="17"/>
  <c r="N149" i="17"/>
  <c r="N157" i="17"/>
  <c r="N165" i="17"/>
  <c r="N173" i="17"/>
  <c r="N181" i="17"/>
  <c r="N189" i="17"/>
  <c r="N197" i="17"/>
  <c r="N205" i="17"/>
  <c r="N213" i="17"/>
  <c r="N221" i="17"/>
  <c r="N229" i="17"/>
  <c r="N237" i="17"/>
  <c r="N245" i="17"/>
  <c r="N253" i="17"/>
  <c r="N261" i="17"/>
  <c r="N269" i="17"/>
  <c r="N277" i="17"/>
  <c r="N285" i="17"/>
  <c r="N293" i="17"/>
  <c r="N301" i="17"/>
  <c r="N309" i="17"/>
  <c r="M317" i="17"/>
  <c r="M325" i="17"/>
  <c r="M337" i="17"/>
  <c r="M353" i="17"/>
  <c r="M369" i="17"/>
  <c r="M385" i="17"/>
  <c r="M401" i="17"/>
  <c r="N315" i="17"/>
  <c r="N331" i="17"/>
  <c r="N347" i="17"/>
  <c r="N363" i="17"/>
  <c r="N379" i="17"/>
  <c r="N395" i="17"/>
  <c r="N411" i="17"/>
  <c r="N427" i="17"/>
  <c r="N443" i="17"/>
  <c r="N459" i="17"/>
  <c r="N475" i="17"/>
  <c r="N491" i="17"/>
  <c r="N507" i="17"/>
  <c r="M421" i="17"/>
  <c r="M437" i="17"/>
  <c r="M453" i="17"/>
  <c r="M469" i="17"/>
  <c r="M485" i="17"/>
  <c r="M501" i="17"/>
  <c r="M517" i="17"/>
  <c r="M531" i="17"/>
  <c r="M550" i="17"/>
  <c r="M582" i="17"/>
  <c r="M530" i="17"/>
  <c r="N549" i="17"/>
  <c r="N581" i="17"/>
  <c r="M567" i="17"/>
  <c r="N599" i="17"/>
  <c r="N612" i="17"/>
  <c r="M231" i="17"/>
  <c r="M263" i="17"/>
  <c r="M279" i="17"/>
  <c r="M295" i="17"/>
  <c r="M311" i="17"/>
  <c r="M122" i="17"/>
  <c r="M138" i="17"/>
  <c r="M154" i="17"/>
  <c r="M170" i="17"/>
  <c r="M186" i="17"/>
  <c r="M202" i="17"/>
  <c r="M218" i="17"/>
  <c r="M234" i="17"/>
  <c r="M250" i="17"/>
  <c r="M266" i="17"/>
  <c r="M282" i="17"/>
  <c r="M298" i="17"/>
  <c r="M314" i="17"/>
  <c r="N330" i="17"/>
  <c r="N346" i="17"/>
  <c r="N362" i="17"/>
  <c r="N378" i="17"/>
  <c r="N394" i="17"/>
  <c r="N410" i="17"/>
  <c r="M324" i="17"/>
  <c r="M340" i="17"/>
  <c r="M356" i="17"/>
  <c r="M372" i="17"/>
  <c r="M388" i="17"/>
  <c r="M404" i="17"/>
  <c r="M420" i="17"/>
  <c r="M436" i="17"/>
  <c r="M452" i="17"/>
  <c r="M468" i="17"/>
  <c r="M484" i="17"/>
  <c r="M500" i="17"/>
  <c r="M516" i="17"/>
  <c r="N430" i="17"/>
  <c r="N446" i="17"/>
  <c r="N462" i="17"/>
  <c r="N478" i="17"/>
  <c r="N494" i="17"/>
  <c r="N510" i="17"/>
  <c r="N524" i="17"/>
  <c r="N540" i="17"/>
  <c r="M568" i="17"/>
  <c r="N523" i="17"/>
  <c r="N539" i="17"/>
  <c r="N567" i="17"/>
  <c r="N546" i="17"/>
  <c r="N562" i="17"/>
  <c r="N578" i="17"/>
  <c r="N594" i="17"/>
  <c r="M610" i="17"/>
  <c r="M607" i="17"/>
  <c r="M549" i="17"/>
  <c r="M565" i="17"/>
  <c r="M581" i="17"/>
  <c r="N597" i="17"/>
  <c r="N613" i="17"/>
  <c r="N610" i="17"/>
  <c r="M213" i="17"/>
  <c r="M229" i="17"/>
  <c r="M245" i="17"/>
  <c r="M261" i="17"/>
  <c r="M277" i="17"/>
  <c r="M293" i="17"/>
  <c r="M309" i="17"/>
  <c r="M120" i="17"/>
  <c r="M136" i="17"/>
  <c r="M152" i="17"/>
  <c r="M184" i="17"/>
  <c r="M216" i="17"/>
  <c r="M248" i="17"/>
  <c r="M280" i="17"/>
  <c r="M312" i="17"/>
  <c r="N344" i="17"/>
  <c r="N376" i="17"/>
  <c r="N408" i="17"/>
  <c r="M338" i="17"/>
  <c r="M370" i="17"/>
  <c r="M402" i="17"/>
  <c r="M434" i="17"/>
  <c r="M466" i="17"/>
  <c r="M498" i="17"/>
  <c r="N428" i="17"/>
  <c r="N460" i="17"/>
  <c r="N492" i="17"/>
  <c r="N522" i="17"/>
  <c r="M564" i="17"/>
  <c r="N537" i="17"/>
  <c r="N544" i="17"/>
  <c r="N576" i="17"/>
  <c r="M608" i="17"/>
  <c r="M605" i="17"/>
  <c r="M156" i="17"/>
  <c r="M164" i="17"/>
  <c r="M172" i="17"/>
  <c r="M180" i="17"/>
  <c r="M188" i="17"/>
  <c r="M196" i="17"/>
  <c r="M204" i="17"/>
  <c r="M212" i="17"/>
  <c r="M220" i="17"/>
  <c r="M228" i="17"/>
  <c r="M236" i="17"/>
  <c r="M244" i="17"/>
  <c r="M252" i="17"/>
  <c r="M260" i="17"/>
  <c r="M268" i="17"/>
  <c r="M276" i="17"/>
  <c r="M284" i="17"/>
  <c r="M292" i="17"/>
  <c r="M300" i="17"/>
  <c r="M308" i="17"/>
  <c r="N316" i="17"/>
  <c r="N324" i="17"/>
  <c r="N332" i="17"/>
  <c r="N340" i="17"/>
  <c r="N348" i="17"/>
  <c r="N356" i="17"/>
  <c r="N364" i="17"/>
  <c r="N372" i="17"/>
  <c r="N380" i="17"/>
  <c r="N388" i="17"/>
  <c r="N396" i="17"/>
  <c r="N404" i="17"/>
  <c r="N412" i="17"/>
  <c r="M318" i="17"/>
  <c r="M326" i="17"/>
  <c r="M334" i="17"/>
  <c r="M342" i="17"/>
  <c r="M350" i="17"/>
  <c r="M358" i="17"/>
  <c r="M366" i="17"/>
  <c r="M374" i="17"/>
  <c r="M382" i="17"/>
  <c r="M390" i="17"/>
  <c r="M398" i="17"/>
  <c r="M406" i="17"/>
  <c r="M414" i="17"/>
  <c r="M422" i="17"/>
  <c r="M430" i="17"/>
  <c r="M438" i="17"/>
  <c r="M446" i="17"/>
  <c r="M454" i="17"/>
  <c r="M462" i="17"/>
  <c r="M470" i="17"/>
  <c r="M478" i="17"/>
  <c r="M486" i="17"/>
  <c r="M494" i="17"/>
  <c r="M502" i="17"/>
  <c r="M510" i="17"/>
  <c r="N519" i="17"/>
  <c r="N424" i="17"/>
  <c r="N432" i="17"/>
  <c r="N440" i="17"/>
  <c r="N448" i="17"/>
  <c r="N456" i="17"/>
  <c r="N464" i="17"/>
  <c r="N472" i="17"/>
  <c r="N480" i="17"/>
  <c r="N488" i="17"/>
  <c r="N496" i="17"/>
  <c r="N504" i="17"/>
  <c r="N512" i="17"/>
  <c r="N518" i="17"/>
  <c r="N526" i="17"/>
  <c r="N534" i="17"/>
  <c r="N542" i="17"/>
  <c r="M556" i="17"/>
  <c r="M572" i="17"/>
  <c r="M588" i="17"/>
  <c r="N525" i="17"/>
  <c r="N533" i="17"/>
  <c r="N541" i="17"/>
  <c r="N555" i="17"/>
  <c r="N571" i="17"/>
  <c r="N587" i="17"/>
  <c r="N548" i="17"/>
  <c r="N556" i="17"/>
  <c r="N564" i="17"/>
  <c r="N572" i="17"/>
  <c r="N580" i="17"/>
  <c r="N588" i="17"/>
  <c r="M596" i="17"/>
  <c r="M604" i="17"/>
  <c r="M612" i="17"/>
  <c r="M601" i="17"/>
  <c r="M609" i="17"/>
  <c r="Y58" i="17"/>
  <c r="F627" i="17" l="1"/>
  <c r="X305" i="17"/>
  <c r="E627" i="17"/>
  <c r="N627" i="17"/>
  <c r="M627" i="17"/>
  <c r="J627" i="17"/>
  <c r="D627" i="17"/>
  <c r="L627" i="17"/>
  <c r="K627" i="17"/>
  <c r="I627" i="17"/>
  <c r="P627" i="17"/>
  <c r="O627" i="17"/>
  <c r="C627" i="17"/>
  <c r="G627" i="17"/>
  <c r="R592" i="17"/>
  <c r="S592" i="17" s="1"/>
  <c r="H624" i="17"/>
  <c r="G624" i="17"/>
  <c r="R628" i="17"/>
  <c r="S628" i="17" s="1"/>
  <c r="M625" i="17"/>
  <c r="H625" i="17"/>
  <c r="G625" i="17"/>
  <c r="Q628" i="17"/>
  <c r="D637" i="17" s="1"/>
  <c r="R609" i="17"/>
  <c r="S609" i="17" s="1"/>
  <c r="Q577" i="17"/>
  <c r="U577" i="17" s="1"/>
  <c r="Q545" i="17"/>
  <c r="U545" i="17" s="1"/>
  <c r="R539" i="17"/>
  <c r="S539" i="17" s="1"/>
  <c r="R567" i="17"/>
  <c r="S567" i="17" s="1"/>
  <c r="Q523" i="17"/>
  <c r="U523" i="17" s="1"/>
  <c r="R492" i="17"/>
  <c r="S492" i="17" s="1"/>
  <c r="R460" i="17"/>
  <c r="S460" i="17" s="1"/>
  <c r="R428" i="17"/>
  <c r="S428" i="17" s="1"/>
  <c r="R499" i="17"/>
  <c r="S499" i="17" s="1"/>
  <c r="R467" i="17"/>
  <c r="S467" i="17" s="1"/>
  <c r="R435" i="17"/>
  <c r="S435" i="17" s="1"/>
  <c r="R403" i="17"/>
  <c r="S403" i="17" s="1"/>
  <c r="R371" i="17"/>
  <c r="S371" i="17" s="1"/>
  <c r="R339" i="17"/>
  <c r="S339" i="17" s="1"/>
  <c r="Q409" i="17"/>
  <c r="U409" i="17" s="1"/>
  <c r="Q606" i="17"/>
  <c r="U606" i="17" s="1"/>
  <c r="R574" i="17"/>
  <c r="S574" i="17" s="1"/>
  <c r="Q592" i="17"/>
  <c r="U592" i="17" s="1"/>
  <c r="Q536" i="17"/>
  <c r="U536" i="17" s="1"/>
  <c r="R561" i="17"/>
  <c r="S561" i="17" s="1"/>
  <c r="R520" i="17"/>
  <c r="S520" i="17" s="1"/>
  <c r="Q489" i="17"/>
  <c r="U489" i="17" s="1"/>
  <c r="Q457" i="17"/>
  <c r="U457" i="17" s="1"/>
  <c r="Q425" i="17"/>
  <c r="U425" i="17" s="1"/>
  <c r="Q496" i="17"/>
  <c r="U496" i="17" s="1"/>
  <c r="Q464" i="17"/>
  <c r="U464" i="17" s="1"/>
  <c r="Q432" i="17"/>
  <c r="U432" i="17" s="1"/>
  <c r="Q400" i="17"/>
  <c r="U400" i="17" s="1"/>
  <c r="Q368" i="17"/>
  <c r="U368" i="17" s="1"/>
  <c r="Q336" i="17"/>
  <c r="U336" i="17" s="1"/>
  <c r="R390" i="17"/>
  <c r="S390" i="17" s="1"/>
  <c r="R372" i="17"/>
  <c r="S372" i="17" s="1"/>
  <c r="R356" i="17"/>
  <c r="S356" i="17" s="1"/>
  <c r="R340" i="17"/>
  <c r="S340" i="17" s="1"/>
  <c r="R324" i="17"/>
  <c r="S324" i="17" s="1"/>
  <c r="Q308" i="17"/>
  <c r="U308" i="17" s="1"/>
  <c r="Q292" i="17"/>
  <c r="U292" i="17" s="1"/>
  <c r="Q276" i="17"/>
  <c r="U276" i="17" s="1"/>
  <c r="Q260" i="17"/>
  <c r="U260" i="17" s="1"/>
  <c r="Q244" i="17"/>
  <c r="U244" i="17" s="1"/>
  <c r="Q228" i="17"/>
  <c r="U228" i="17" s="1"/>
  <c r="Q212" i="17"/>
  <c r="U212" i="17" s="1"/>
  <c r="Q196" i="17"/>
  <c r="U196" i="17" s="1"/>
  <c r="Q180" i="17"/>
  <c r="U180" i="17" s="1"/>
  <c r="Q164" i="17"/>
  <c r="U164" i="17" s="1"/>
  <c r="Q148" i="17"/>
  <c r="U148" i="17" s="1"/>
  <c r="Q132" i="17"/>
  <c r="U132" i="17" s="1"/>
  <c r="Q116" i="17"/>
  <c r="U116" i="17" s="1"/>
  <c r="Q305" i="17"/>
  <c r="U305" i="17" s="1"/>
  <c r="Q289" i="17"/>
  <c r="U289" i="17" s="1"/>
  <c r="Q273" i="17"/>
  <c r="U273" i="17" s="1"/>
  <c r="Q257" i="17"/>
  <c r="U257" i="17" s="1"/>
  <c r="Q241" i="17"/>
  <c r="U241" i="17" s="1"/>
  <c r="Q225" i="17"/>
  <c r="U225" i="17" s="1"/>
  <c r="Q209" i="17"/>
  <c r="U209" i="17" s="1"/>
  <c r="Q193" i="17"/>
  <c r="U193" i="17" s="1"/>
  <c r="Q177" i="17"/>
  <c r="U177" i="17" s="1"/>
  <c r="Q161" i="17"/>
  <c r="U161" i="17" s="1"/>
  <c r="Q145" i="17"/>
  <c r="U145" i="17" s="1"/>
  <c r="Q129" i="17"/>
  <c r="U129" i="17" s="1"/>
  <c r="Q318" i="17"/>
  <c r="U318" i="17" s="1"/>
  <c r="Q397" i="17"/>
  <c r="U397" i="17" s="1"/>
  <c r="Q381" i="17"/>
  <c r="U381" i="17" s="1"/>
  <c r="Q365" i="17"/>
  <c r="U365" i="17" s="1"/>
  <c r="Q349" i="17"/>
  <c r="U349" i="17" s="1"/>
  <c r="Q333" i="17"/>
  <c r="U333" i="17" s="1"/>
  <c r="Q317" i="17"/>
  <c r="U317" i="17" s="1"/>
  <c r="R301" i="17"/>
  <c r="S301" i="17" s="1"/>
  <c r="R285" i="17"/>
  <c r="S285" i="17" s="1"/>
  <c r="R269" i="17"/>
  <c r="S269" i="17" s="1"/>
  <c r="R253" i="17"/>
  <c r="S253" i="17" s="1"/>
  <c r="R237" i="17"/>
  <c r="S237" i="17" s="1"/>
  <c r="R221" i="17"/>
  <c r="S221" i="17" s="1"/>
  <c r="R205" i="17"/>
  <c r="S205" i="17" s="1"/>
  <c r="R189" i="17"/>
  <c r="S189" i="17" s="1"/>
  <c r="R173" i="17"/>
  <c r="S173" i="17" s="1"/>
  <c r="R157" i="17"/>
  <c r="S157" i="17" s="1"/>
  <c r="R141" i="17"/>
  <c r="S141" i="17" s="1"/>
  <c r="R125" i="17"/>
  <c r="S125" i="17" s="1"/>
  <c r="R314" i="17"/>
  <c r="S314" i="17" s="1"/>
  <c r="R298" i="17"/>
  <c r="S298" i="17" s="1"/>
  <c r="R282" i="17"/>
  <c r="S282" i="17" s="1"/>
  <c r="R266" i="17"/>
  <c r="S266" i="17" s="1"/>
  <c r="R250" i="17"/>
  <c r="S250" i="17" s="1"/>
  <c r="R234" i="17"/>
  <c r="S234" i="17" s="1"/>
  <c r="R218" i="17"/>
  <c r="S218" i="17" s="1"/>
  <c r="R202" i="17"/>
  <c r="S202" i="17" s="1"/>
  <c r="R186" i="17"/>
  <c r="S186" i="17" s="1"/>
  <c r="R170" i="17"/>
  <c r="S170" i="17" s="1"/>
  <c r="R154" i="17"/>
  <c r="S154" i="17" s="1"/>
  <c r="R138" i="17"/>
  <c r="S138" i="17" s="1"/>
  <c r="R122" i="17"/>
  <c r="S122" i="17" s="1"/>
  <c r="Q121" i="17"/>
  <c r="U121" i="17" s="1"/>
  <c r="Q13" i="17"/>
  <c r="U13" i="17" s="1"/>
  <c r="Q29" i="17"/>
  <c r="U29" i="17" s="1"/>
  <c r="Q45" i="17"/>
  <c r="U45" i="17" s="1"/>
  <c r="Q61" i="17"/>
  <c r="U61" i="17" s="1"/>
  <c r="Q77" i="17"/>
  <c r="U77" i="17" s="1"/>
  <c r="Q93" i="17"/>
  <c r="U93" i="17" s="1"/>
  <c r="Q109" i="17"/>
  <c r="U109" i="17" s="1"/>
  <c r="R23" i="17"/>
  <c r="S23" i="17" s="1"/>
  <c r="R31" i="17"/>
  <c r="S31" i="17" s="1"/>
  <c r="R39" i="17"/>
  <c r="S39" i="17" s="1"/>
  <c r="R47" i="17"/>
  <c r="S47" i="17" s="1"/>
  <c r="R55" i="17"/>
  <c r="S55" i="17" s="1"/>
  <c r="R63" i="17"/>
  <c r="S63" i="17" s="1"/>
  <c r="R71" i="17"/>
  <c r="S71" i="17" s="1"/>
  <c r="R79" i="17"/>
  <c r="S79" i="17" s="1"/>
  <c r="R87" i="17"/>
  <c r="S87" i="17" s="1"/>
  <c r="R95" i="17"/>
  <c r="S95" i="17" s="1"/>
  <c r="R103" i="17"/>
  <c r="S103" i="17" s="1"/>
  <c r="R16" i="17"/>
  <c r="S16" i="17" s="1"/>
  <c r="R32" i="17"/>
  <c r="S32" i="17" s="1"/>
  <c r="R48" i="17"/>
  <c r="S48" i="17" s="1"/>
  <c r="R64" i="17"/>
  <c r="S64" i="17" s="1"/>
  <c r="R80" i="17"/>
  <c r="S80" i="17" s="1"/>
  <c r="R96" i="17"/>
  <c r="S96" i="17" s="1"/>
  <c r="Q622" i="17"/>
  <c r="D632" i="17" s="1"/>
  <c r="R392" i="17"/>
  <c r="S392" i="17" s="1"/>
  <c r="R410" i="17"/>
  <c r="S410" i="17" s="1"/>
  <c r="Q338" i="17"/>
  <c r="U338" i="17" s="1"/>
  <c r="Q354" i="17"/>
  <c r="U354" i="17" s="1"/>
  <c r="Q370" i="17"/>
  <c r="U370" i="17" s="1"/>
  <c r="Q386" i="17"/>
  <c r="U386" i="17" s="1"/>
  <c r="Q402" i="17"/>
  <c r="U402" i="17" s="1"/>
  <c r="Q418" i="17"/>
  <c r="U418" i="17" s="1"/>
  <c r="Q434" i="17"/>
  <c r="U434" i="17" s="1"/>
  <c r="Q450" i="17"/>
  <c r="U450" i="17" s="1"/>
  <c r="Q466" i="17"/>
  <c r="U466" i="17" s="1"/>
  <c r="Q482" i="17"/>
  <c r="U482" i="17" s="1"/>
  <c r="Q498" i="17"/>
  <c r="U498" i="17" s="1"/>
  <c r="Q514" i="17"/>
  <c r="U514" i="17" s="1"/>
  <c r="Q427" i="17"/>
  <c r="U427" i="17" s="1"/>
  <c r="Q443" i="17"/>
  <c r="U443" i="17" s="1"/>
  <c r="Q459" i="17"/>
  <c r="U459" i="17" s="1"/>
  <c r="Q475" i="17"/>
  <c r="U475" i="17" s="1"/>
  <c r="Q491" i="17"/>
  <c r="U491" i="17" s="1"/>
  <c r="Q507" i="17"/>
  <c r="U507" i="17" s="1"/>
  <c r="R522" i="17"/>
  <c r="S522" i="17" s="1"/>
  <c r="R538" i="17"/>
  <c r="S538" i="17" s="1"/>
  <c r="R565" i="17"/>
  <c r="S565" i="17" s="1"/>
  <c r="Q522" i="17"/>
  <c r="U522" i="17" s="1"/>
  <c r="Q538" i="17"/>
  <c r="U538" i="17" s="1"/>
  <c r="Q564" i="17"/>
  <c r="U564" i="17" s="1"/>
  <c r="R544" i="17"/>
  <c r="S544" i="17" s="1"/>
  <c r="R560" i="17"/>
  <c r="S560" i="17" s="1"/>
  <c r="R576" i="17"/>
  <c r="S576" i="17" s="1"/>
  <c r="Q608" i="17"/>
  <c r="U608" i="17" s="1"/>
  <c r="Q605" i="17"/>
  <c r="U605" i="17" s="1"/>
  <c r="Q411" i="17"/>
  <c r="U411" i="17" s="1"/>
  <c r="R325" i="17"/>
  <c r="S325" i="17" s="1"/>
  <c r="R341" i="17"/>
  <c r="S341" i="17" s="1"/>
  <c r="R357" i="17"/>
  <c r="S357" i="17" s="1"/>
  <c r="R373" i="17"/>
  <c r="S373" i="17" s="1"/>
  <c r="R389" i="17"/>
  <c r="S389" i="17" s="1"/>
  <c r="R405" i="17"/>
  <c r="S405" i="17" s="1"/>
  <c r="R421" i="17"/>
  <c r="S421" i="17" s="1"/>
  <c r="R437" i="17"/>
  <c r="S437" i="17" s="1"/>
  <c r="R453" i="17"/>
  <c r="S453" i="17" s="1"/>
  <c r="R469" i="17"/>
  <c r="S469" i="17" s="1"/>
  <c r="R485" i="17"/>
  <c r="S485" i="17" s="1"/>
  <c r="R501" i="17"/>
  <c r="S501" i="17" s="1"/>
  <c r="R517" i="17"/>
  <c r="S517" i="17" s="1"/>
  <c r="R430" i="17"/>
  <c r="S430" i="17" s="1"/>
  <c r="R446" i="17"/>
  <c r="S446" i="17" s="1"/>
  <c r="R462" i="17"/>
  <c r="S462" i="17" s="1"/>
  <c r="R478" i="17"/>
  <c r="S478" i="17" s="1"/>
  <c r="R494" i="17"/>
  <c r="S494" i="17" s="1"/>
  <c r="R510" i="17"/>
  <c r="S510" i="17" s="1"/>
  <c r="Q525" i="17"/>
  <c r="U525" i="17" s="1"/>
  <c r="Q541" i="17"/>
  <c r="U541" i="17" s="1"/>
  <c r="R571" i="17"/>
  <c r="S571" i="17" s="1"/>
  <c r="R601" i="17"/>
  <c r="S601" i="17" s="1"/>
  <c r="Q569" i="17"/>
  <c r="U569" i="17" s="1"/>
  <c r="Q582" i="17"/>
  <c r="U582" i="17" s="1"/>
  <c r="R531" i="17"/>
  <c r="S531" i="17" s="1"/>
  <c r="R551" i="17"/>
  <c r="S551" i="17" s="1"/>
  <c r="R516" i="17"/>
  <c r="S516" i="17" s="1"/>
  <c r="R484" i="17"/>
  <c r="S484" i="17" s="1"/>
  <c r="R452" i="17"/>
  <c r="S452" i="17" s="1"/>
  <c r="R420" i="17"/>
  <c r="S420" i="17" s="1"/>
  <c r="R491" i="17"/>
  <c r="S491" i="17" s="1"/>
  <c r="R459" i="17"/>
  <c r="S459" i="17" s="1"/>
  <c r="R427" i="17"/>
  <c r="S427" i="17" s="1"/>
  <c r="R395" i="17"/>
  <c r="S395" i="17" s="1"/>
  <c r="R363" i="17"/>
  <c r="S363" i="17" s="1"/>
  <c r="R331" i="17"/>
  <c r="S331" i="17" s="1"/>
  <c r="Q611" i="17"/>
  <c r="U611" i="17" s="1"/>
  <c r="Q598" i="17"/>
  <c r="U598" i="17" s="1"/>
  <c r="R566" i="17"/>
  <c r="S566" i="17" s="1"/>
  <c r="Q576" i="17"/>
  <c r="U576" i="17" s="1"/>
  <c r="Q528" i="17"/>
  <c r="U528" i="17" s="1"/>
  <c r="R545" i="17"/>
  <c r="S545" i="17" s="1"/>
  <c r="Q513" i="17"/>
  <c r="U513" i="17" s="1"/>
  <c r="Q481" i="17"/>
  <c r="U481" i="17" s="1"/>
  <c r="Q449" i="17"/>
  <c r="U449" i="17" s="1"/>
  <c r="Q417" i="17"/>
  <c r="U417" i="17" s="1"/>
  <c r="Q488" i="17"/>
  <c r="U488" i="17" s="1"/>
  <c r="Q456" i="17"/>
  <c r="U456" i="17" s="1"/>
  <c r="Q424" i="17"/>
  <c r="U424" i="17" s="1"/>
  <c r="Q392" i="17"/>
  <c r="U392" i="17" s="1"/>
  <c r="Q360" i="17"/>
  <c r="U360" i="17" s="1"/>
  <c r="Q320" i="17"/>
  <c r="U320" i="17" s="1"/>
  <c r="R384" i="17"/>
  <c r="S384" i="17" s="1"/>
  <c r="R368" i="17"/>
  <c r="S368" i="17" s="1"/>
  <c r="R352" i="17"/>
  <c r="S352" i="17" s="1"/>
  <c r="R336" i="17"/>
  <c r="S336" i="17" s="1"/>
  <c r="R320" i="17"/>
  <c r="S320" i="17" s="1"/>
  <c r="Q304" i="17"/>
  <c r="U304" i="17" s="1"/>
  <c r="Q288" i="17"/>
  <c r="U288" i="17" s="1"/>
  <c r="Q272" i="17"/>
  <c r="U272" i="17" s="1"/>
  <c r="Q256" i="17"/>
  <c r="U256" i="17" s="1"/>
  <c r="Q240" i="17"/>
  <c r="U240" i="17" s="1"/>
  <c r="Q224" i="17"/>
  <c r="U224" i="17" s="1"/>
  <c r="Q208" i="17"/>
  <c r="U208" i="17" s="1"/>
  <c r="Q192" i="17"/>
  <c r="U192" i="17" s="1"/>
  <c r="Q176" i="17"/>
  <c r="U176" i="17" s="1"/>
  <c r="Q160" i="17"/>
  <c r="U160" i="17" s="1"/>
  <c r="Q144" i="17"/>
  <c r="U144" i="17" s="1"/>
  <c r="Q128" i="17"/>
  <c r="U128" i="17" s="1"/>
  <c r="Q112" i="17"/>
  <c r="U112" i="17" s="1"/>
  <c r="Q301" i="17"/>
  <c r="U301" i="17" s="1"/>
  <c r="Q285" i="17"/>
  <c r="U285" i="17" s="1"/>
  <c r="Q269" i="17"/>
  <c r="U269" i="17" s="1"/>
  <c r="Q253" i="17"/>
  <c r="U253" i="17" s="1"/>
  <c r="Q237" i="17"/>
  <c r="U237" i="17" s="1"/>
  <c r="Q221" i="17"/>
  <c r="U221" i="17" s="1"/>
  <c r="Q205" i="17"/>
  <c r="U205" i="17" s="1"/>
  <c r="Q189" i="17"/>
  <c r="U189" i="17" s="1"/>
  <c r="Q173" i="17"/>
  <c r="U173" i="17" s="1"/>
  <c r="Q157" i="17"/>
  <c r="U157" i="17" s="1"/>
  <c r="Q141" i="17"/>
  <c r="U141" i="17" s="1"/>
  <c r="Q125" i="17"/>
  <c r="U125" i="17" s="1"/>
  <c r="R412" i="17"/>
  <c r="S412" i="17" s="1"/>
  <c r="Q393" i="17"/>
  <c r="U393" i="17" s="1"/>
  <c r="Q377" i="17"/>
  <c r="U377" i="17" s="1"/>
  <c r="Q361" i="17"/>
  <c r="U361" i="17" s="1"/>
  <c r="Q345" i="17"/>
  <c r="U345" i="17" s="1"/>
  <c r="Q329" i="17"/>
  <c r="U329" i="17" s="1"/>
  <c r="R313" i="17"/>
  <c r="S313" i="17" s="1"/>
  <c r="R297" i="17"/>
  <c r="S297" i="17" s="1"/>
  <c r="R281" i="17"/>
  <c r="S281" i="17" s="1"/>
  <c r="R265" i="17"/>
  <c r="S265" i="17" s="1"/>
  <c r="R249" i="17"/>
  <c r="S249" i="17" s="1"/>
  <c r="R233" i="17"/>
  <c r="S233" i="17" s="1"/>
  <c r="R217" i="17"/>
  <c r="S217" i="17" s="1"/>
  <c r="R201" i="17"/>
  <c r="S201" i="17" s="1"/>
  <c r="R185" i="17"/>
  <c r="S185" i="17" s="1"/>
  <c r="R169" i="17"/>
  <c r="S169" i="17" s="1"/>
  <c r="R153" i="17"/>
  <c r="S153" i="17" s="1"/>
  <c r="R137" i="17"/>
  <c r="S137" i="17" s="1"/>
  <c r="R121" i="17"/>
  <c r="S121" i="17" s="1"/>
  <c r="R310" i="17"/>
  <c r="S310" i="17" s="1"/>
  <c r="R294" i="17"/>
  <c r="S294" i="17" s="1"/>
  <c r="R278" i="17"/>
  <c r="S278" i="17" s="1"/>
  <c r="R262" i="17"/>
  <c r="S262" i="17" s="1"/>
  <c r="R246" i="17"/>
  <c r="S246" i="17" s="1"/>
  <c r="R230" i="17"/>
  <c r="S230" i="17" s="1"/>
  <c r="R214" i="17"/>
  <c r="S214" i="17" s="1"/>
  <c r="R198" i="17"/>
  <c r="S198" i="17" s="1"/>
  <c r="R182" i="17"/>
  <c r="S182" i="17" s="1"/>
  <c r="R166" i="17"/>
  <c r="S166" i="17" s="1"/>
  <c r="R150" i="17"/>
  <c r="S150" i="17" s="1"/>
  <c r="R134" i="17"/>
  <c r="S134" i="17" s="1"/>
  <c r="R118" i="17"/>
  <c r="S118" i="17" s="1"/>
  <c r="R114" i="17"/>
  <c r="S114" i="17" s="1"/>
  <c r="Q17" i="17"/>
  <c r="U17" i="17" s="1"/>
  <c r="Q33" i="17"/>
  <c r="U33" i="17" s="1"/>
  <c r="Q49" i="17"/>
  <c r="U49" i="17" s="1"/>
  <c r="Q65" i="17"/>
  <c r="U65" i="17" s="1"/>
  <c r="Q81" i="17"/>
  <c r="U81" i="17" s="1"/>
  <c r="Q97" i="17"/>
  <c r="U97" i="17" s="1"/>
  <c r="R15" i="17"/>
  <c r="S15" i="17" s="1"/>
  <c r="R25" i="17"/>
  <c r="S25" i="17" s="1"/>
  <c r="R33" i="17"/>
  <c r="S33" i="17" s="1"/>
  <c r="R41" i="17"/>
  <c r="S41" i="17" s="1"/>
  <c r="R49" i="17"/>
  <c r="S49" i="17" s="1"/>
  <c r="R57" i="17"/>
  <c r="S57" i="17" s="1"/>
  <c r="R65" i="17"/>
  <c r="S65" i="17" s="1"/>
  <c r="R73" i="17"/>
  <c r="S73" i="17" s="1"/>
  <c r="R81" i="17"/>
  <c r="S81" i="17" s="1"/>
  <c r="R89" i="17"/>
  <c r="S89" i="17" s="1"/>
  <c r="R97" i="17"/>
  <c r="S97" i="17" s="1"/>
  <c r="R105" i="17"/>
  <c r="S105" i="17" s="1"/>
  <c r="R20" i="17"/>
  <c r="S20" i="17" s="1"/>
  <c r="R36" i="17"/>
  <c r="S36" i="17" s="1"/>
  <c r="R52" i="17"/>
  <c r="S52" i="17" s="1"/>
  <c r="R68" i="17"/>
  <c r="S68" i="17" s="1"/>
  <c r="R84" i="17"/>
  <c r="S84" i="17" s="1"/>
  <c r="R100" i="17"/>
  <c r="S100" i="17" s="1"/>
  <c r="R626" i="17"/>
  <c r="S626" i="17" s="1"/>
  <c r="R396" i="17"/>
  <c r="S396" i="17" s="1"/>
  <c r="Q316" i="17"/>
  <c r="U316" i="17" s="1"/>
  <c r="Q342" i="17"/>
  <c r="U342" i="17" s="1"/>
  <c r="Q358" i="17"/>
  <c r="U358" i="17" s="1"/>
  <c r="Q374" i="17"/>
  <c r="U374" i="17" s="1"/>
  <c r="Q390" i="17"/>
  <c r="U390" i="17" s="1"/>
  <c r="Q406" i="17"/>
  <c r="U406" i="17" s="1"/>
  <c r="Q422" i="17"/>
  <c r="U422" i="17" s="1"/>
  <c r="Q438" i="17"/>
  <c r="U438" i="17" s="1"/>
  <c r="Q454" i="17"/>
  <c r="U454" i="17" s="1"/>
  <c r="Q470" i="17"/>
  <c r="U470" i="17" s="1"/>
  <c r="Q486" i="17"/>
  <c r="U486" i="17" s="1"/>
  <c r="Q502" i="17"/>
  <c r="U502" i="17" s="1"/>
  <c r="Q518" i="17"/>
  <c r="U518" i="17" s="1"/>
  <c r="Q431" i="17"/>
  <c r="U431" i="17" s="1"/>
  <c r="Q447" i="17"/>
  <c r="U447" i="17" s="1"/>
  <c r="Q463" i="17"/>
  <c r="U463" i="17" s="1"/>
  <c r="Q479" i="17"/>
  <c r="U479" i="17" s="1"/>
  <c r="Q495" i="17"/>
  <c r="U495" i="17" s="1"/>
  <c r="Q511" i="17"/>
  <c r="U511" i="17" s="1"/>
  <c r="R526" i="17"/>
  <c r="S526" i="17" s="1"/>
  <c r="R542" i="17"/>
  <c r="S542" i="17" s="1"/>
  <c r="R573" i="17"/>
  <c r="S573" i="17" s="1"/>
  <c r="Q526" i="17"/>
  <c r="U526" i="17" s="1"/>
  <c r="Q542" i="17"/>
  <c r="U542" i="17" s="1"/>
  <c r="Q572" i="17"/>
  <c r="U572" i="17" s="1"/>
  <c r="R548" i="17"/>
  <c r="S548" i="17" s="1"/>
  <c r="R564" i="17"/>
  <c r="S564" i="17" s="1"/>
  <c r="R580" i="17"/>
  <c r="S580" i="17" s="1"/>
  <c r="Q596" i="17"/>
  <c r="U596" i="17" s="1"/>
  <c r="Q612" i="17"/>
  <c r="U612" i="17" s="1"/>
  <c r="Q609" i="17"/>
  <c r="U609" i="17" s="1"/>
  <c r="Q415" i="17"/>
  <c r="U415" i="17" s="1"/>
  <c r="R329" i="17"/>
  <c r="S329" i="17" s="1"/>
  <c r="R345" i="17"/>
  <c r="S345" i="17" s="1"/>
  <c r="R361" i="17"/>
  <c r="S361" i="17" s="1"/>
  <c r="R377" i="17"/>
  <c r="S377" i="17" s="1"/>
  <c r="R393" i="17"/>
  <c r="S393" i="17" s="1"/>
  <c r="R409" i="17"/>
  <c r="S409" i="17" s="1"/>
  <c r="R425" i="17"/>
  <c r="S425" i="17" s="1"/>
  <c r="R441" i="17"/>
  <c r="S441" i="17" s="1"/>
  <c r="R457" i="17"/>
  <c r="S457" i="17" s="1"/>
  <c r="R473" i="17"/>
  <c r="S473" i="17" s="1"/>
  <c r="R489" i="17"/>
  <c r="S489" i="17" s="1"/>
  <c r="R505" i="17"/>
  <c r="S505" i="17" s="1"/>
  <c r="R418" i="17"/>
  <c r="S418" i="17" s="1"/>
  <c r="R434" i="17"/>
  <c r="S434" i="17" s="1"/>
  <c r="R450" i="17"/>
  <c r="S450" i="17" s="1"/>
  <c r="R466" i="17"/>
  <c r="S466" i="17" s="1"/>
  <c r="R482" i="17"/>
  <c r="S482" i="17" s="1"/>
  <c r="R498" i="17"/>
  <c r="S498" i="17" s="1"/>
  <c r="R514" i="17"/>
  <c r="S514" i="17" s="1"/>
  <c r="Q529" i="17"/>
  <c r="U529" i="17" s="1"/>
  <c r="R547" i="17"/>
  <c r="S547" i="17" s="1"/>
  <c r="R579" i="17"/>
  <c r="S579" i="17" s="1"/>
  <c r="R521" i="17"/>
  <c r="S521" i="17" s="1"/>
  <c r="R537" i="17"/>
  <c r="S537" i="17" s="1"/>
  <c r="Q562" i="17"/>
  <c r="U562" i="17" s="1"/>
  <c r="Q594" i="17"/>
  <c r="U594" i="17" s="1"/>
  <c r="Q559" i="17"/>
  <c r="U559" i="17" s="1"/>
  <c r="Q575" i="17"/>
  <c r="U575" i="17" s="1"/>
  <c r="Q591" i="17"/>
  <c r="U591" i="17" s="1"/>
  <c r="R607" i="17"/>
  <c r="S607" i="17" s="1"/>
  <c r="R604" i="17"/>
  <c r="S604" i="17" s="1"/>
  <c r="R613" i="17"/>
  <c r="S613" i="17" s="1"/>
  <c r="Q549" i="17"/>
  <c r="U549" i="17" s="1"/>
  <c r="R575" i="17"/>
  <c r="S575" i="17" s="1"/>
  <c r="R496" i="17"/>
  <c r="S496" i="17" s="1"/>
  <c r="R432" i="17"/>
  <c r="S432" i="17" s="1"/>
  <c r="R471" i="17"/>
  <c r="S471" i="17" s="1"/>
  <c r="R407" i="17"/>
  <c r="S407" i="17" s="1"/>
  <c r="R343" i="17"/>
  <c r="S343" i="17" s="1"/>
  <c r="Q610" i="17"/>
  <c r="U610" i="17" s="1"/>
  <c r="R546" i="17"/>
  <c r="S546" i="17" s="1"/>
  <c r="R569" i="17"/>
  <c r="S569" i="17" s="1"/>
  <c r="Q493" i="17"/>
  <c r="U493" i="17" s="1"/>
  <c r="Q429" i="17"/>
  <c r="U429" i="17" s="1"/>
  <c r="Q468" i="17"/>
  <c r="U468" i="17" s="1"/>
  <c r="Q404" i="17"/>
  <c r="U404" i="17" s="1"/>
  <c r="Q340" i="17"/>
  <c r="U340" i="17" s="1"/>
  <c r="R374" i="17"/>
  <c r="S374" i="17" s="1"/>
  <c r="R342" i="17"/>
  <c r="S342" i="17" s="1"/>
  <c r="Q310" i="17"/>
  <c r="U310" i="17" s="1"/>
  <c r="Q278" i="17"/>
  <c r="U278" i="17" s="1"/>
  <c r="Q246" i="17"/>
  <c r="U246" i="17" s="1"/>
  <c r="Q214" i="17"/>
  <c r="U214" i="17" s="1"/>
  <c r="Q182" i="17"/>
  <c r="U182" i="17" s="1"/>
  <c r="Q150" i="17"/>
  <c r="U150" i="17" s="1"/>
  <c r="Q118" i="17"/>
  <c r="U118" i="17" s="1"/>
  <c r="Q291" i="17"/>
  <c r="U291" i="17" s="1"/>
  <c r="Q259" i="17"/>
  <c r="U259" i="17" s="1"/>
  <c r="Q227" i="17"/>
  <c r="U227" i="17" s="1"/>
  <c r="Q195" i="17"/>
  <c r="U195" i="17" s="1"/>
  <c r="Q163" i="17"/>
  <c r="U163" i="17" s="1"/>
  <c r="Q131" i="17"/>
  <c r="U131" i="17" s="1"/>
  <c r="Q399" i="17"/>
  <c r="U399" i="17" s="1"/>
  <c r="Q367" i="17"/>
  <c r="U367" i="17" s="1"/>
  <c r="Q335" i="17"/>
  <c r="U335" i="17" s="1"/>
  <c r="R303" i="17"/>
  <c r="S303" i="17" s="1"/>
  <c r="R271" i="17"/>
  <c r="S271" i="17" s="1"/>
  <c r="R239" i="17"/>
  <c r="S239" i="17" s="1"/>
  <c r="R207" i="17"/>
  <c r="S207" i="17" s="1"/>
  <c r="R175" i="17"/>
  <c r="S175" i="17" s="1"/>
  <c r="R143" i="17"/>
  <c r="S143" i="17" s="1"/>
  <c r="R111" i="17"/>
  <c r="S111" i="17" s="1"/>
  <c r="R284" i="17"/>
  <c r="S284" i="17" s="1"/>
  <c r="R252" i="17"/>
  <c r="S252" i="17" s="1"/>
  <c r="R220" i="17"/>
  <c r="S220" i="17" s="1"/>
  <c r="R188" i="17"/>
  <c r="S188" i="17" s="1"/>
  <c r="R156" i="17"/>
  <c r="S156" i="17" s="1"/>
  <c r="R124" i="17"/>
  <c r="S124" i="17" s="1"/>
  <c r="Q18" i="17"/>
  <c r="Q43" i="17"/>
  <c r="U43" i="17" s="1"/>
  <c r="Q75" i="17"/>
  <c r="U75" i="17" s="1"/>
  <c r="Q107" i="17"/>
  <c r="U107" i="17" s="1"/>
  <c r="Q30" i="17"/>
  <c r="U30" i="17" s="1"/>
  <c r="Q46" i="17"/>
  <c r="U46" i="17" s="1"/>
  <c r="Q62" i="17"/>
  <c r="U62" i="17" s="1"/>
  <c r="Q78" i="17"/>
  <c r="U78" i="17" s="1"/>
  <c r="Q94" i="17"/>
  <c r="U94" i="17" s="1"/>
  <c r="R14" i="17"/>
  <c r="S14" i="17" s="1"/>
  <c r="R46" i="17"/>
  <c r="S46" i="17" s="1"/>
  <c r="R78" i="17"/>
  <c r="S78" i="17" s="1"/>
  <c r="R622" i="17"/>
  <c r="S622" i="17" s="1"/>
  <c r="Q557" i="17"/>
  <c r="U557" i="17" s="1"/>
  <c r="R504" i="17"/>
  <c r="S504" i="17" s="1"/>
  <c r="R479" i="17"/>
  <c r="S479" i="17" s="1"/>
  <c r="R351" i="17"/>
  <c r="S351" i="17" s="1"/>
  <c r="R554" i="17"/>
  <c r="S554" i="17" s="1"/>
  <c r="Q501" i="17"/>
  <c r="U501" i="17" s="1"/>
  <c r="Q476" i="17"/>
  <c r="U476" i="17" s="1"/>
  <c r="Q348" i="17"/>
  <c r="U348" i="17" s="1"/>
  <c r="R346" i="17"/>
  <c r="S346" i="17" s="1"/>
  <c r="Q282" i="17"/>
  <c r="U282" i="17" s="1"/>
  <c r="Q218" i="17"/>
  <c r="U218" i="17" s="1"/>
  <c r="Q154" i="17"/>
  <c r="U154" i="17" s="1"/>
  <c r="Q295" i="17"/>
  <c r="U295" i="17" s="1"/>
  <c r="Q231" i="17"/>
  <c r="U231" i="17" s="1"/>
  <c r="Q167" i="17"/>
  <c r="U167" i="17" s="1"/>
  <c r="Q403" i="17"/>
  <c r="U403" i="17" s="1"/>
  <c r="Q339" i="17"/>
  <c r="U339" i="17" s="1"/>
  <c r="R275" i="17"/>
  <c r="S275" i="17" s="1"/>
  <c r="R211" i="17"/>
  <c r="S211" i="17" s="1"/>
  <c r="R147" i="17"/>
  <c r="S147" i="17" s="1"/>
  <c r="R288" i="17"/>
  <c r="S288" i="17" s="1"/>
  <c r="R224" i="17"/>
  <c r="S224" i="17" s="1"/>
  <c r="R160" i="17"/>
  <c r="S160" i="17" s="1"/>
  <c r="Q14" i="17"/>
  <c r="U14" i="17" s="1"/>
  <c r="Q71" i="17"/>
  <c r="U71" i="17" s="1"/>
  <c r="Q28" i="17"/>
  <c r="U28" i="17" s="1"/>
  <c r="Q60" i="17"/>
  <c r="U60" i="17" s="1"/>
  <c r="Q92" i="17"/>
  <c r="U92" i="17" s="1"/>
  <c r="R42" i="17"/>
  <c r="S42" i="17" s="1"/>
  <c r="R106" i="17"/>
  <c r="S106" i="17" s="1"/>
  <c r="R488" i="17"/>
  <c r="S488" i="17" s="1"/>
  <c r="R335" i="17"/>
  <c r="S335" i="17" s="1"/>
  <c r="Q485" i="17"/>
  <c r="U485" i="17" s="1"/>
  <c r="Q328" i="17"/>
  <c r="U328" i="17" s="1"/>
  <c r="Q274" i="17"/>
  <c r="U274" i="17" s="1"/>
  <c r="Q146" i="17"/>
  <c r="U146" i="17" s="1"/>
  <c r="Q223" i="17"/>
  <c r="U223" i="17" s="1"/>
  <c r="Q395" i="17"/>
  <c r="U395" i="17" s="1"/>
  <c r="R267" i="17"/>
  <c r="S267" i="17" s="1"/>
  <c r="R139" i="17"/>
  <c r="S139" i="17" s="1"/>
  <c r="R216" i="17"/>
  <c r="S216" i="17" s="1"/>
  <c r="Q15" i="17"/>
  <c r="U15" i="17" s="1"/>
  <c r="Q32" i="17"/>
  <c r="U32" i="17" s="1"/>
  <c r="Q96" i="17"/>
  <c r="U96" i="17" s="1"/>
  <c r="Q626" i="17"/>
  <c r="D636" i="17" s="1"/>
  <c r="R367" i="17"/>
  <c r="S367" i="17" s="1"/>
  <c r="Q364" i="17"/>
  <c r="U364" i="17" s="1"/>
  <c r="Q162" i="17"/>
  <c r="U162" i="17" s="1"/>
  <c r="R416" i="17"/>
  <c r="S416" i="17" s="1"/>
  <c r="R155" i="17"/>
  <c r="S155" i="17" s="1"/>
  <c r="Q117" i="17"/>
  <c r="Q88" i="17"/>
  <c r="U88" i="17" s="1"/>
  <c r="R431" i="17"/>
  <c r="S431" i="17" s="1"/>
  <c r="Q194" i="17"/>
  <c r="U194" i="17" s="1"/>
  <c r="R187" i="17"/>
  <c r="S187" i="17" s="1"/>
  <c r="Q72" i="17"/>
  <c r="U72" i="17" s="1"/>
  <c r="Q258" i="17"/>
  <c r="U258" i="17" s="1"/>
  <c r="Q40" i="17"/>
  <c r="U40" i="17" s="1"/>
  <c r="Q104" i="17"/>
  <c r="U104" i="17" s="1"/>
  <c r="R533" i="17"/>
  <c r="S533" i="17" s="1"/>
  <c r="Q554" i="17"/>
  <c r="U554" i="17" s="1"/>
  <c r="Q586" i="17"/>
  <c r="U586" i="17" s="1"/>
  <c r="Q555" i="17"/>
  <c r="U555" i="17" s="1"/>
  <c r="Q571" i="17"/>
  <c r="U571" i="17" s="1"/>
  <c r="Q587" i="17"/>
  <c r="U587" i="17" s="1"/>
  <c r="R603" i="17"/>
  <c r="S603" i="17" s="1"/>
  <c r="R600" i="17"/>
  <c r="S600" i="17" s="1"/>
  <c r="Q565" i="17"/>
  <c r="U565" i="17" s="1"/>
  <c r="R527" i="17"/>
  <c r="S527" i="17" s="1"/>
  <c r="R512" i="17"/>
  <c r="S512" i="17" s="1"/>
  <c r="R448" i="17"/>
  <c r="S448" i="17" s="1"/>
  <c r="R487" i="17"/>
  <c r="S487" i="17" s="1"/>
  <c r="R423" i="17"/>
  <c r="S423" i="17" s="1"/>
  <c r="R359" i="17"/>
  <c r="S359" i="17" s="1"/>
  <c r="Q607" i="17"/>
  <c r="U607" i="17" s="1"/>
  <c r="R562" i="17"/>
  <c r="S562" i="17" s="1"/>
  <c r="Q524" i="17"/>
  <c r="U524" i="17" s="1"/>
  <c r="Q509" i="17"/>
  <c r="U509" i="17" s="1"/>
  <c r="Q445" i="17"/>
  <c r="U445" i="17" s="1"/>
  <c r="Q484" i="17"/>
  <c r="U484" i="17" s="1"/>
  <c r="Q420" i="17"/>
  <c r="U420" i="17" s="1"/>
  <c r="Q356" i="17"/>
  <c r="U356" i="17" s="1"/>
  <c r="R382" i="17"/>
  <c r="S382" i="17" s="1"/>
  <c r="R350" i="17"/>
  <c r="S350" i="17" s="1"/>
  <c r="R318" i="17"/>
  <c r="S318" i="17" s="1"/>
  <c r="Q286" i="17"/>
  <c r="U286" i="17" s="1"/>
  <c r="Q254" i="17"/>
  <c r="U254" i="17" s="1"/>
  <c r="Q222" i="17"/>
  <c r="U222" i="17" s="1"/>
  <c r="Q190" i="17"/>
  <c r="U190" i="17" s="1"/>
  <c r="Q158" i="17"/>
  <c r="U158" i="17" s="1"/>
  <c r="Q126" i="17"/>
  <c r="U126" i="17" s="1"/>
  <c r="Q299" i="17"/>
  <c r="U299" i="17" s="1"/>
  <c r="Q267" i="17"/>
  <c r="U267" i="17" s="1"/>
  <c r="Q235" i="17"/>
  <c r="U235" i="17" s="1"/>
  <c r="Q203" i="17"/>
  <c r="U203" i="17" s="1"/>
  <c r="Q171" i="17"/>
  <c r="U171" i="17" s="1"/>
  <c r="Q139" i="17"/>
  <c r="U139" i="17" s="1"/>
  <c r="R408" i="17"/>
  <c r="S408" i="17" s="1"/>
  <c r="Q375" i="17"/>
  <c r="U375" i="17" s="1"/>
  <c r="Q343" i="17"/>
  <c r="U343" i="17" s="1"/>
  <c r="R311" i="17"/>
  <c r="S311" i="17" s="1"/>
  <c r="R279" i="17"/>
  <c r="S279" i="17" s="1"/>
  <c r="R247" i="17"/>
  <c r="S247" i="17" s="1"/>
  <c r="R215" i="17"/>
  <c r="S215" i="17" s="1"/>
  <c r="R183" i="17"/>
  <c r="S183" i="17" s="1"/>
  <c r="R151" i="17"/>
  <c r="S151" i="17" s="1"/>
  <c r="R119" i="17"/>
  <c r="S119" i="17" s="1"/>
  <c r="R292" i="17"/>
  <c r="S292" i="17" s="1"/>
  <c r="R260" i="17"/>
  <c r="S260" i="17" s="1"/>
  <c r="R228" i="17"/>
  <c r="S228" i="17" s="1"/>
  <c r="R196" i="17"/>
  <c r="S196" i="17" s="1"/>
  <c r="R164" i="17"/>
  <c r="S164" i="17" s="1"/>
  <c r="R132" i="17"/>
  <c r="S132" i="17" s="1"/>
  <c r="R112" i="17"/>
  <c r="S112" i="17" s="1"/>
  <c r="Q35" i="17"/>
  <c r="U35" i="17" s="1"/>
  <c r="Q67" i="17"/>
  <c r="U67" i="17" s="1"/>
  <c r="Q99" i="17"/>
  <c r="U99" i="17" s="1"/>
  <c r="Q26" i="17"/>
  <c r="U26" i="17" s="1"/>
  <c r="Q42" i="17"/>
  <c r="U42" i="17" s="1"/>
  <c r="Q58" i="17"/>
  <c r="U58" i="17" s="1"/>
  <c r="Q74" i="17"/>
  <c r="U74" i="17" s="1"/>
  <c r="Q90" i="17"/>
  <c r="U90" i="17" s="1"/>
  <c r="Q106" i="17"/>
  <c r="U106" i="17" s="1"/>
  <c r="R38" i="17"/>
  <c r="S38" i="17" s="1"/>
  <c r="R70" i="17"/>
  <c r="S70" i="17" s="1"/>
  <c r="R102" i="17"/>
  <c r="S102" i="17" s="1"/>
  <c r="Q589" i="17"/>
  <c r="U589" i="17" s="1"/>
  <c r="Q535" i="17"/>
  <c r="U535" i="17" s="1"/>
  <c r="R511" i="17"/>
  <c r="S511" i="17" s="1"/>
  <c r="R383" i="17"/>
  <c r="S383" i="17" s="1"/>
  <c r="R586" i="17"/>
  <c r="S586" i="17" s="1"/>
  <c r="R532" i="17"/>
  <c r="S532" i="17" s="1"/>
  <c r="Q508" i="17"/>
  <c r="U508" i="17" s="1"/>
  <c r="Q380" i="17"/>
  <c r="U380" i="17" s="1"/>
  <c r="R362" i="17"/>
  <c r="S362" i="17" s="1"/>
  <c r="Q298" i="17"/>
  <c r="U298" i="17" s="1"/>
  <c r="Q234" i="17"/>
  <c r="U234" i="17" s="1"/>
  <c r="Q170" i="17"/>
  <c r="U170" i="17" s="1"/>
  <c r="Q311" i="17"/>
  <c r="U311" i="17" s="1"/>
  <c r="Q247" i="17"/>
  <c r="U247" i="17" s="1"/>
  <c r="Q183" i="17"/>
  <c r="U183" i="17" s="1"/>
  <c r="Q330" i="17"/>
  <c r="Q355" i="17"/>
  <c r="U355" i="17" s="1"/>
  <c r="R291" i="17"/>
  <c r="S291" i="17" s="1"/>
  <c r="R227" i="17"/>
  <c r="S227" i="17" s="1"/>
  <c r="R163" i="17"/>
  <c r="S163" i="17" s="1"/>
  <c r="R304" i="17"/>
  <c r="S304" i="17" s="1"/>
  <c r="R240" i="17"/>
  <c r="S240" i="17" s="1"/>
  <c r="R176" i="17"/>
  <c r="S176" i="17" s="1"/>
  <c r="Q115" i="17"/>
  <c r="U115" i="17" s="1"/>
  <c r="Q55" i="17"/>
  <c r="U55" i="17" s="1"/>
  <c r="Q20" i="17"/>
  <c r="U20" i="17" s="1"/>
  <c r="Q52" i="17"/>
  <c r="U52" i="17" s="1"/>
  <c r="Q84" i="17"/>
  <c r="U84" i="17" s="1"/>
  <c r="R26" i="17"/>
  <c r="S26" i="17" s="1"/>
  <c r="R90" i="17"/>
  <c r="S90" i="17" s="1"/>
  <c r="R559" i="17"/>
  <c r="S559" i="17" s="1"/>
  <c r="R399" i="17"/>
  <c r="S399" i="17" s="1"/>
  <c r="R553" i="17"/>
  <c r="S553" i="17" s="1"/>
  <c r="Q396" i="17"/>
  <c r="U396" i="17" s="1"/>
  <c r="Q306" i="17"/>
  <c r="U306" i="17" s="1"/>
  <c r="Q178" i="17"/>
  <c r="U178" i="17" s="1"/>
  <c r="Q255" i="17"/>
  <c r="U255" i="17" s="1"/>
  <c r="Q127" i="17"/>
  <c r="U127" i="17" s="1"/>
  <c r="R299" i="17"/>
  <c r="S299" i="17" s="1"/>
  <c r="R171" i="17"/>
  <c r="S171" i="17" s="1"/>
  <c r="R248" i="17"/>
  <c r="S248" i="17" s="1"/>
  <c r="R120" i="17"/>
  <c r="S120" i="17" s="1"/>
  <c r="R13" i="17"/>
  <c r="S13" i="17" s="1"/>
  <c r="Q80" i="17"/>
  <c r="U80" i="17" s="1"/>
  <c r="R82" i="17"/>
  <c r="S82" i="17" s="1"/>
  <c r="R495" i="17"/>
  <c r="S495" i="17" s="1"/>
  <c r="Q492" i="17"/>
  <c r="U492" i="17" s="1"/>
  <c r="Q226" i="17"/>
  <c r="U226" i="17" s="1"/>
  <c r="Q175" i="17"/>
  <c r="U175" i="17" s="1"/>
  <c r="R219" i="17"/>
  <c r="S219" i="17" s="1"/>
  <c r="R168" i="17"/>
  <c r="S168" i="17" s="1"/>
  <c r="Q56" i="17"/>
  <c r="U56" i="17" s="1"/>
  <c r="R535" i="17"/>
  <c r="S535" i="17" s="1"/>
  <c r="R322" i="17"/>
  <c r="S322" i="17" s="1"/>
  <c r="Q315" i="17"/>
  <c r="U315" i="17" s="1"/>
  <c r="Q95" i="17"/>
  <c r="U95" i="17" s="1"/>
  <c r="Q453" i="17"/>
  <c r="U453" i="17" s="1"/>
  <c r="R200" i="17"/>
  <c r="S200" i="17" s="1"/>
  <c r="R123" i="17"/>
  <c r="S123" i="17" s="1"/>
  <c r="Q379" i="17"/>
  <c r="U379" i="17" s="1"/>
  <c r="R606" i="17"/>
  <c r="S606" i="17" s="1"/>
  <c r="Q593" i="17"/>
  <c r="U593" i="17" s="1"/>
  <c r="Q561" i="17"/>
  <c r="U561" i="17" s="1"/>
  <c r="Q566" i="17"/>
  <c r="U566" i="17" s="1"/>
  <c r="R523" i="17"/>
  <c r="S523" i="17" s="1"/>
  <c r="Q539" i="17"/>
  <c r="U539" i="17" s="1"/>
  <c r="R508" i="17"/>
  <c r="S508" i="17" s="1"/>
  <c r="R476" i="17"/>
  <c r="S476" i="17" s="1"/>
  <c r="R444" i="17"/>
  <c r="S444" i="17" s="1"/>
  <c r="R515" i="17"/>
  <c r="S515" i="17" s="1"/>
  <c r="R483" i="17"/>
  <c r="S483" i="17" s="1"/>
  <c r="R451" i="17"/>
  <c r="S451" i="17" s="1"/>
  <c r="R419" i="17"/>
  <c r="S419" i="17" s="1"/>
  <c r="R387" i="17"/>
  <c r="S387" i="17" s="1"/>
  <c r="R355" i="17"/>
  <c r="S355" i="17" s="1"/>
  <c r="R323" i="17"/>
  <c r="S323" i="17" s="1"/>
  <c r="Q603" i="17"/>
  <c r="U603" i="17" s="1"/>
  <c r="R590" i="17"/>
  <c r="S590" i="17" s="1"/>
  <c r="R558" i="17"/>
  <c r="S558" i="17" s="1"/>
  <c r="Q560" i="17"/>
  <c r="U560" i="17" s="1"/>
  <c r="R593" i="17"/>
  <c r="S593" i="17" s="1"/>
  <c r="R536" i="17"/>
  <c r="S536" i="17" s="1"/>
  <c r="Q505" i="17"/>
  <c r="U505" i="17" s="1"/>
  <c r="Q473" i="17"/>
  <c r="U473" i="17" s="1"/>
  <c r="Q441" i="17"/>
  <c r="U441" i="17" s="1"/>
  <c r="Q512" i="17"/>
  <c r="U512" i="17" s="1"/>
  <c r="Q480" i="17"/>
  <c r="U480" i="17" s="1"/>
  <c r="Q448" i="17"/>
  <c r="U448" i="17" s="1"/>
  <c r="Q416" i="17"/>
  <c r="U416" i="17" s="1"/>
  <c r="Q384" i="17"/>
  <c r="U384" i="17" s="1"/>
  <c r="Q352" i="17"/>
  <c r="U352" i="17" s="1"/>
  <c r="R406" i="17"/>
  <c r="S406" i="17" s="1"/>
  <c r="R380" i="17"/>
  <c r="S380" i="17" s="1"/>
  <c r="R364" i="17"/>
  <c r="S364" i="17" s="1"/>
  <c r="R348" i="17"/>
  <c r="S348" i="17" s="1"/>
  <c r="R332" i="17"/>
  <c r="S332" i="17" s="1"/>
  <c r="R316" i="17"/>
  <c r="S316" i="17" s="1"/>
  <c r="Q300" i="17"/>
  <c r="Q284" i="17"/>
  <c r="U284" i="17" s="1"/>
  <c r="Q268" i="17"/>
  <c r="U268" i="17" s="1"/>
  <c r="Q252" i="17"/>
  <c r="U252" i="17" s="1"/>
  <c r="Q236" i="17"/>
  <c r="U236" i="17" s="1"/>
  <c r="Q220" i="17"/>
  <c r="U220" i="17" s="1"/>
  <c r="Q204" i="17"/>
  <c r="U204" i="17" s="1"/>
  <c r="Q188" i="17"/>
  <c r="U188" i="17" s="1"/>
  <c r="Q172" i="17"/>
  <c r="U172" i="17" s="1"/>
  <c r="Q156" i="17"/>
  <c r="U156" i="17" s="1"/>
  <c r="Q140" i="17"/>
  <c r="U140" i="17" s="1"/>
  <c r="Q124" i="17"/>
  <c r="U124" i="17" s="1"/>
  <c r="Q313" i="17"/>
  <c r="U313" i="17" s="1"/>
  <c r="Q297" i="17"/>
  <c r="U297" i="17" s="1"/>
  <c r="Q281" i="17"/>
  <c r="U281" i="17" s="1"/>
  <c r="Q265" i="17"/>
  <c r="U265" i="17" s="1"/>
  <c r="Q249" i="17"/>
  <c r="U249" i="17" s="1"/>
  <c r="Q233" i="17"/>
  <c r="U233" i="17" s="1"/>
  <c r="Q217" i="17"/>
  <c r="U217" i="17" s="1"/>
  <c r="Q201" i="17"/>
  <c r="U201" i="17" s="1"/>
  <c r="Q185" i="17"/>
  <c r="U185" i="17" s="1"/>
  <c r="Q169" i="17"/>
  <c r="U169" i="17" s="1"/>
  <c r="Q153" i="17"/>
  <c r="U153" i="17" s="1"/>
  <c r="Q137" i="17"/>
  <c r="U137" i="17" s="1"/>
  <c r="Q334" i="17"/>
  <c r="U334" i="17" s="1"/>
  <c r="Q405" i="17"/>
  <c r="U405" i="17" s="1"/>
  <c r="Q389" i="17"/>
  <c r="U389" i="17" s="1"/>
  <c r="Q373" i="17"/>
  <c r="U373" i="17" s="1"/>
  <c r="Q357" i="17"/>
  <c r="U357" i="17" s="1"/>
  <c r="Q341" i="17"/>
  <c r="U341" i="17" s="1"/>
  <c r="Q325" i="17"/>
  <c r="U325" i="17" s="1"/>
  <c r="R309" i="17"/>
  <c r="S309" i="17" s="1"/>
  <c r="R293" i="17"/>
  <c r="S293" i="17" s="1"/>
  <c r="R277" i="17"/>
  <c r="S277" i="17" s="1"/>
  <c r="R261" i="17"/>
  <c r="S261" i="17" s="1"/>
  <c r="R245" i="17"/>
  <c r="S245" i="17" s="1"/>
  <c r="R229" i="17"/>
  <c r="S229" i="17" s="1"/>
  <c r="R213" i="17"/>
  <c r="S213" i="17" s="1"/>
  <c r="R197" i="17"/>
  <c r="S197" i="17" s="1"/>
  <c r="R181" i="17"/>
  <c r="S181" i="17" s="1"/>
  <c r="R165" i="17"/>
  <c r="S165" i="17" s="1"/>
  <c r="R149" i="17"/>
  <c r="S149" i="17" s="1"/>
  <c r="R133" i="17"/>
  <c r="S133" i="17" s="1"/>
  <c r="R117" i="17"/>
  <c r="S117" i="17" s="1"/>
  <c r="R306" i="17"/>
  <c r="S306" i="17" s="1"/>
  <c r="R290" i="17"/>
  <c r="S290" i="17" s="1"/>
  <c r="R274" i="17"/>
  <c r="S274" i="17" s="1"/>
  <c r="R258" i="17"/>
  <c r="S258" i="17" s="1"/>
  <c r="R242" i="17"/>
  <c r="S242" i="17" s="1"/>
  <c r="R226" i="17"/>
  <c r="S226" i="17" s="1"/>
  <c r="R210" i="17"/>
  <c r="S210" i="17" s="1"/>
  <c r="R194" i="17"/>
  <c r="S194" i="17" s="1"/>
  <c r="R178" i="17"/>
  <c r="S178" i="17" s="1"/>
  <c r="R162" i="17"/>
  <c r="S162" i="17" s="1"/>
  <c r="R146" i="17"/>
  <c r="S146" i="17" s="1"/>
  <c r="R130" i="17"/>
  <c r="S130" i="17" s="1"/>
  <c r="Q119" i="17"/>
  <c r="U119" i="17" s="1"/>
  <c r="R110" i="17"/>
  <c r="S110" i="17" s="1"/>
  <c r="Q21" i="17"/>
  <c r="U21" i="17" s="1"/>
  <c r="Q37" i="17"/>
  <c r="U37" i="17" s="1"/>
  <c r="Q53" i="17"/>
  <c r="U53" i="17" s="1"/>
  <c r="Q69" i="17"/>
  <c r="U69" i="17" s="1"/>
  <c r="Q85" i="17"/>
  <c r="U85" i="17" s="1"/>
  <c r="Q101" i="17"/>
  <c r="U101" i="17" s="1"/>
  <c r="R19" i="17"/>
  <c r="S19" i="17" s="1"/>
  <c r="R27" i="17"/>
  <c r="S27" i="17" s="1"/>
  <c r="R35" i="17"/>
  <c r="S35" i="17" s="1"/>
  <c r="R43" i="17"/>
  <c r="S43" i="17" s="1"/>
  <c r="R51" i="17"/>
  <c r="S51" i="17" s="1"/>
  <c r="R59" i="17"/>
  <c r="S59" i="17" s="1"/>
  <c r="R67" i="17"/>
  <c r="S67" i="17" s="1"/>
  <c r="R75" i="17"/>
  <c r="S75" i="17" s="1"/>
  <c r="R83" i="17"/>
  <c r="S83" i="17" s="1"/>
  <c r="R91" i="17"/>
  <c r="S91" i="17" s="1"/>
  <c r="R99" i="17"/>
  <c r="S99" i="17" s="1"/>
  <c r="R107" i="17"/>
  <c r="S107" i="17" s="1"/>
  <c r="R24" i="17"/>
  <c r="S24" i="17" s="1"/>
  <c r="R40" i="17"/>
  <c r="S40" i="17" s="1"/>
  <c r="R56" i="17"/>
  <c r="S56" i="17" s="1"/>
  <c r="R72" i="17"/>
  <c r="S72" i="17" s="1"/>
  <c r="R88" i="17"/>
  <c r="S88" i="17" s="1"/>
  <c r="R104" i="17"/>
  <c r="S104" i="17" s="1"/>
  <c r="R623" i="17"/>
  <c r="S623" i="17" s="1"/>
  <c r="R400" i="17"/>
  <c r="S400" i="17" s="1"/>
  <c r="Q324" i="17"/>
  <c r="U324" i="17" s="1"/>
  <c r="Q346" i="17"/>
  <c r="U346" i="17" s="1"/>
  <c r="Q362" i="17"/>
  <c r="U362" i="17" s="1"/>
  <c r="Q378" i="17"/>
  <c r="U378" i="17" s="1"/>
  <c r="Q394" i="17"/>
  <c r="U394" i="17" s="1"/>
  <c r="Q410" i="17"/>
  <c r="U410" i="17" s="1"/>
  <c r="Q426" i="17"/>
  <c r="U426" i="17" s="1"/>
  <c r="Q442" i="17"/>
  <c r="U442" i="17" s="1"/>
  <c r="Q458" i="17"/>
  <c r="U458" i="17" s="1"/>
  <c r="Q474" i="17"/>
  <c r="U474" i="17" s="1"/>
  <c r="Q490" i="17"/>
  <c r="U490" i="17" s="1"/>
  <c r="Q506" i="17"/>
  <c r="U506" i="17" s="1"/>
  <c r="Q419" i="17"/>
  <c r="U419" i="17" s="1"/>
  <c r="Q435" i="17"/>
  <c r="U435" i="17" s="1"/>
  <c r="Q451" i="17"/>
  <c r="U451" i="17" s="1"/>
  <c r="Q467" i="17"/>
  <c r="U467" i="17" s="1"/>
  <c r="Q483" i="17"/>
  <c r="U483" i="17" s="1"/>
  <c r="Q499" i="17"/>
  <c r="U499" i="17" s="1"/>
  <c r="Q515" i="17"/>
  <c r="U515" i="17" s="1"/>
  <c r="R530" i="17"/>
  <c r="S530" i="17" s="1"/>
  <c r="R549" i="17"/>
  <c r="S549" i="17" s="1"/>
  <c r="R581" i="17"/>
  <c r="S581" i="17" s="1"/>
  <c r="Q530" i="17"/>
  <c r="U530" i="17" s="1"/>
  <c r="Q548" i="17"/>
  <c r="U548" i="17" s="1"/>
  <c r="Q580" i="17"/>
  <c r="U580" i="17" s="1"/>
  <c r="R552" i="17"/>
  <c r="S552" i="17" s="1"/>
  <c r="R568" i="17"/>
  <c r="S568" i="17" s="1"/>
  <c r="R584" i="17"/>
  <c r="S584" i="17" s="1"/>
  <c r="Q600" i="17"/>
  <c r="U600" i="17" s="1"/>
  <c r="Q597" i="17"/>
  <c r="U597" i="17" s="1"/>
  <c r="Q613" i="17"/>
  <c r="R317" i="17"/>
  <c r="S317" i="17" s="1"/>
  <c r="R333" i="17"/>
  <c r="S333" i="17" s="1"/>
  <c r="R349" i="17"/>
  <c r="S349" i="17" s="1"/>
  <c r="R365" i="17"/>
  <c r="S365" i="17" s="1"/>
  <c r="R381" i="17"/>
  <c r="S381" i="17" s="1"/>
  <c r="R397" i="17"/>
  <c r="S397" i="17" s="1"/>
  <c r="R413" i="17"/>
  <c r="S413" i="17" s="1"/>
  <c r="R429" i="17"/>
  <c r="S429" i="17" s="1"/>
  <c r="R445" i="17"/>
  <c r="S445" i="17" s="1"/>
  <c r="R461" i="17"/>
  <c r="S461" i="17" s="1"/>
  <c r="R477" i="17"/>
  <c r="S477" i="17" s="1"/>
  <c r="R493" i="17"/>
  <c r="S493" i="17" s="1"/>
  <c r="R509" i="17"/>
  <c r="S509" i="17" s="1"/>
  <c r="R422" i="17"/>
  <c r="S422" i="17" s="1"/>
  <c r="R438" i="17"/>
  <c r="S438" i="17" s="1"/>
  <c r="R454" i="17"/>
  <c r="S454" i="17" s="1"/>
  <c r="R470" i="17"/>
  <c r="S470" i="17" s="1"/>
  <c r="R486" i="17"/>
  <c r="S486" i="17" s="1"/>
  <c r="R502" i="17"/>
  <c r="S502" i="17" s="1"/>
  <c r="R519" i="17"/>
  <c r="S519" i="17" s="1"/>
  <c r="Q533" i="17"/>
  <c r="U533" i="17" s="1"/>
  <c r="R555" i="17"/>
  <c r="S555" i="17" s="1"/>
  <c r="R587" i="17"/>
  <c r="S587" i="17" s="1"/>
  <c r="R598" i="17"/>
  <c r="S598" i="17" s="1"/>
  <c r="Q585" i="17"/>
  <c r="U585" i="17" s="1"/>
  <c r="Q553" i="17"/>
  <c r="U553" i="17" s="1"/>
  <c r="Q550" i="17"/>
  <c r="U550" i="17" s="1"/>
  <c r="R583" i="17"/>
  <c r="S583" i="17" s="1"/>
  <c r="Q531" i="17"/>
  <c r="U531" i="17" s="1"/>
  <c r="R500" i="17"/>
  <c r="S500" i="17" s="1"/>
  <c r="R468" i="17"/>
  <c r="S468" i="17" s="1"/>
  <c r="R436" i="17"/>
  <c r="S436" i="17" s="1"/>
  <c r="R507" i="17"/>
  <c r="S507" i="17" s="1"/>
  <c r="R475" i="17"/>
  <c r="S475" i="17" s="1"/>
  <c r="R443" i="17"/>
  <c r="S443" i="17" s="1"/>
  <c r="R411" i="17"/>
  <c r="S411" i="17" s="1"/>
  <c r="R379" i="17"/>
  <c r="S379" i="17" s="1"/>
  <c r="R347" i="17"/>
  <c r="S347" i="17" s="1"/>
  <c r="R315" i="17"/>
  <c r="S315" i="17" s="1"/>
  <c r="Q595" i="17"/>
  <c r="U595" i="17" s="1"/>
  <c r="R582" i="17"/>
  <c r="S582" i="17" s="1"/>
  <c r="R550" i="17"/>
  <c r="S550" i="17" s="1"/>
  <c r="Q544" i="17"/>
  <c r="U544" i="17" s="1"/>
  <c r="R577" i="17"/>
  <c r="S577" i="17" s="1"/>
  <c r="R528" i="17"/>
  <c r="S528" i="17" s="1"/>
  <c r="Q497" i="17"/>
  <c r="U497" i="17" s="1"/>
  <c r="Q465" i="17"/>
  <c r="U465" i="17" s="1"/>
  <c r="Q433" i="17"/>
  <c r="U433" i="17" s="1"/>
  <c r="Q504" i="17"/>
  <c r="U504" i="17" s="1"/>
  <c r="Q472" i="17"/>
  <c r="U472" i="17" s="1"/>
  <c r="Q440" i="17"/>
  <c r="U440" i="17" s="1"/>
  <c r="Q408" i="17"/>
  <c r="U408" i="17" s="1"/>
  <c r="Q376" i="17"/>
  <c r="U376" i="17" s="1"/>
  <c r="Q344" i="17"/>
  <c r="U344" i="17" s="1"/>
  <c r="R398" i="17"/>
  <c r="S398" i="17" s="1"/>
  <c r="R376" i="17"/>
  <c r="S376" i="17" s="1"/>
  <c r="R360" i="17"/>
  <c r="S360" i="17" s="1"/>
  <c r="R344" i="17"/>
  <c r="S344" i="17" s="1"/>
  <c r="R328" i="17"/>
  <c r="S328" i="17" s="1"/>
  <c r="Q312" i="17"/>
  <c r="U312" i="17" s="1"/>
  <c r="Q296" i="17"/>
  <c r="U296" i="17" s="1"/>
  <c r="Q280" i="17"/>
  <c r="U280" i="17" s="1"/>
  <c r="Q264" i="17"/>
  <c r="U264" i="17" s="1"/>
  <c r="Q248" i="17"/>
  <c r="U248" i="17" s="1"/>
  <c r="Q232" i="17"/>
  <c r="U232" i="17" s="1"/>
  <c r="Q216" i="17"/>
  <c r="U216" i="17" s="1"/>
  <c r="Q200" i="17"/>
  <c r="U200" i="17" s="1"/>
  <c r="Q184" i="17"/>
  <c r="U184" i="17" s="1"/>
  <c r="Q168" i="17"/>
  <c r="U168" i="17" s="1"/>
  <c r="Q152" i="17"/>
  <c r="U152" i="17" s="1"/>
  <c r="Q136" i="17"/>
  <c r="U136" i="17" s="1"/>
  <c r="Q120" i="17"/>
  <c r="U120" i="17" s="1"/>
  <c r="Q309" i="17"/>
  <c r="U309" i="17" s="1"/>
  <c r="Q293" i="17"/>
  <c r="Q277" i="17"/>
  <c r="U277" i="17" s="1"/>
  <c r="Q261" i="17"/>
  <c r="U261" i="17" s="1"/>
  <c r="Q245" i="17"/>
  <c r="U245" i="17" s="1"/>
  <c r="Q229" i="17"/>
  <c r="U229" i="17" s="1"/>
  <c r="Q213" i="17"/>
  <c r="U213" i="17" s="1"/>
  <c r="Q197" i="17"/>
  <c r="U197" i="17" s="1"/>
  <c r="Q181" i="17"/>
  <c r="U181" i="17" s="1"/>
  <c r="Q165" i="17"/>
  <c r="U165" i="17" s="1"/>
  <c r="Q149" i="17"/>
  <c r="U149" i="17" s="1"/>
  <c r="Q133" i="17"/>
  <c r="U133" i="17" s="1"/>
  <c r="Q326" i="17"/>
  <c r="U326" i="17" s="1"/>
  <c r="Q401" i="17"/>
  <c r="U401" i="17" s="1"/>
  <c r="Q385" i="17"/>
  <c r="U385" i="17" s="1"/>
  <c r="Q369" i="17"/>
  <c r="U369" i="17" s="1"/>
  <c r="Q353" i="17"/>
  <c r="U353" i="17" s="1"/>
  <c r="Q337" i="17"/>
  <c r="U337" i="17" s="1"/>
  <c r="Q321" i="17"/>
  <c r="U321" i="17" s="1"/>
  <c r="R305" i="17"/>
  <c r="S305" i="17" s="1"/>
  <c r="R289" i="17"/>
  <c r="S289" i="17" s="1"/>
  <c r="R273" i="17"/>
  <c r="S273" i="17" s="1"/>
  <c r="R257" i="17"/>
  <c r="S257" i="17" s="1"/>
  <c r="R241" i="17"/>
  <c r="S241" i="17" s="1"/>
  <c r="R225" i="17"/>
  <c r="S225" i="17" s="1"/>
  <c r="R209" i="17"/>
  <c r="S209" i="17" s="1"/>
  <c r="R193" i="17"/>
  <c r="S193" i="17" s="1"/>
  <c r="R177" i="17"/>
  <c r="S177" i="17" s="1"/>
  <c r="R161" i="17"/>
  <c r="S161" i="17" s="1"/>
  <c r="R145" i="17"/>
  <c r="S145" i="17" s="1"/>
  <c r="R129" i="17"/>
  <c r="S129" i="17" s="1"/>
  <c r="R113" i="17"/>
  <c r="S113" i="17" s="1"/>
  <c r="R302" i="17"/>
  <c r="S302" i="17" s="1"/>
  <c r="R286" i="17"/>
  <c r="S286" i="17" s="1"/>
  <c r="R270" i="17"/>
  <c r="S270" i="17" s="1"/>
  <c r="R254" i="17"/>
  <c r="S254" i="17" s="1"/>
  <c r="R238" i="17"/>
  <c r="S238" i="17" s="1"/>
  <c r="R222" i="17"/>
  <c r="S222" i="17" s="1"/>
  <c r="R206" i="17"/>
  <c r="S206" i="17" s="1"/>
  <c r="R190" i="17"/>
  <c r="S190" i="17" s="1"/>
  <c r="R174" i="17"/>
  <c r="S174" i="17" s="1"/>
  <c r="R158" i="17"/>
  <c r="S158" i="17" s="1"/>
  <c r="R142" i="17"/>
  <c r="S142" i="17" s="1"/>
  <c r="R126" i="17"/>
  <c r="S126" i="17" s="1"/>
  <c r="Q113" i="17"/>
  <c r="U113" i="17" s="1"/>
  <c r="Q16" i="17"/>
  <c r="U16" i="17" s="1"/>
  <c r="Q25" i="17"/>
  <c r="U25" i="17" s="1"/>
  <c r="Q41" i="17"/>
  <c r="U41" i="17" s="1"/>
  <c r="Q57" i="17"/>
  <c r="U57" i="17" s="1"/>
  <c r="Q73" i="17"/>
  <c r="U73" i="17" s="1"/>
  <c r="Q89" i="17"/>
  <c r="U89" i="17" s="1"/>
  <c r="Q105" i="17"/>
  <c r="U105" i="17" s="1"/>
  <c r="R21" i="17"/>
  <c r="S21" i="17" s="1"/>
  <c r="R29" i="17"/>
  <c r="S29" i="17" s="1"/>
  <c r="R37" i="17"/>
  <c r="S37" i="17" s="1"/>
  <c r="R45" i="17"/>
  <c r="S45" i="17" s="1"/>
  <c r="R53" i="17"/>
  <c r="S53" i="17" s="1"/>
  <c r="R61" i="17"/>
  <c r="S61" i="17" s="1"/>
  <c r="R69" i="17"/>
  <c r="S69" i="17" s="1"/>
  <c r="R77" i="17"/>
  <c r="S77" i="17" s="1"/>
  <c r="R85" i="17"/>
  <c r="S85" i="17" s="1"/>
  <c r="R93" i="17"/>
  <c r="S93" i="17" s="1"/>
  <c r="R101" i="17"/>
  <c r="S101" i="17" s="1"/>
  <c r="R109" i="17"/>
  <c r="S109" i="17" s="1"/>
  <c r="R28" i="17"/>
  <c r="S28" i="17" s="1"/>
  <c r="R44" i="17"/>
  <c r="S44" i="17" s="1"/>
  <c r="R60" i="17"/>
  <c r="S60" i="17" s="1"/>
  <c r="R76" i="17"/>
  <c r="S76" i="17" s="1"/>
  <c r="R92" i="17"/>
  <c r="S92" i="17" s="1"/>
  <c r="R108" i="17"/>
  <c r="S108" i="17" s="1"/>
  <c r="R388" i="17"/>
  <c r="S388" i="17" s="1"/>
  <c r="R404" i="17"/>
  <c r="S404" i="17" s="1"/>
  <c r="Q332" i="17"/>
  <c r="U332" i="17" s="1"/>
  <c r="Q350" i="17"/>
  <c r="U350" i="17" s="1"/>
  <c r="Q366" i="17"/>
  <c r="U366" i="17" s="1"/>
  <c r="Q382" i="17"/>
  <c r="U382" i="17" s="1"/>
  <c r="Q398" i="17"/>
  <c r="U398" i="17" s="1"/>
  <c r="Q414" i="17"/>
  <c r="U414" i="17" s="1"/>
  <c r="Q430" i="17"/>
  <c r="Q446" i="17"/>
  <c r="U446" i="17" s="1"/>
  <c r="Q462" i="17"/>
  <c r="U462" i="17" s="1"/>
  <c r="Q478" i="17"/>
  <c r="U478" i="17" s="1"/>
  <c r="Q494" i="17"/>
  <c r="U494" i="17" s="1"/>
  <c r="Q510" i="17"/>
  <c r="U510" i="17" s="1"/>
  <c r="Q423" i="17"/>
  <c r="U423" i="17" s="1"/>
  <c r="Q439" i="17"/>
  <c r="U439" i="17" s="1"/>
  <c r="Q455" i="17"/>
  <c r="U455" i="17" s="1"/>
  <c r="Q471" i="17"/>
  <c r="U471" i="17" s="1"/>
  <c r="Q487" i="17"/>
  <c r="Q503" i="17"/>
  <c r="U503" i="17" s="1"/>
  <c r="R518" i="17"/>
  <c r="S518" i="17" s="1"/>
  <c r="R534" i="17"/>
  <c r="S534" i="17" s="1"/>
  <c r="R557" i="17"/>
  <c r="S557" i="17" s="1"/>
  <c r="R589" i="17"/>
  <c r="S589" i="17" s="1"/>
  <c r="Q534" i="17"/>
  <c r="U534" i="17" s="1"/>
  <c r="Q556" i="17"/>
  <c r="U556" i="17" s="1"/>
  <c r="Q588" i="17"/>
  <c r="U588" i="17" s="1"/>
  <c r="R556" i="17"/>
  <c r="S556" i="17" s="1"/>
  <c r="R572" i="17"/>
  <c r="S572" i="17" s="1"/>
  <c r="R588" i="17"/>
  <c r="S588" i="17" s="1"/>
  <c r="Q604" i="17"/>
  <c r="U604" i="17" s="1"/>
  <c r="Q601" i="17"/>
  <c r="U601" i="17" s="1"/>
  <c r="Q407" i="17"/>
  <c r="U407" i="17" s="1"/>
  <c r="R321" i="17"/>
  <c r="S321" i="17" s="1"/>
  <c r="R337" i="17"/>
  <c r="S337" i="17" s="1"/>
  <c r="R353" i="17"/>
  <c r="S353" i="17" s="1"/>
  <c r="R369" i="17"/>
  <c r="S369" i="17" s="1"/>
  <c r="R385" i="17"/>
  <c r="S385" i="17" s="1"/>
  <c r="R401" i="17"/>
  <c r="S401" i="17" s="1"/>
  <c r="R417" i="17"/>
  <c r="S417" i="17" s="1"/>
  <c r="R433" i="17"/>
  <c r="S433" i="17" s="1"/>
  <c r="R449" i="17"/>
  <c r="S449" i="17" s="1"/>
  <c r="R465" i="17"/>
  <c r="S465" i="17" s="1"/>
  <c r="R481" i="17"/>
  <c r="S481" i="17" s="1"/>
  <c r="R497" i="17"/>
  <c r="S497" i="17" s="1"/>
  <c r="R513" i="17"/>
  <c r="S513" i="17" s="1"/>
  <c r="R426" i="17"/>
  <c r="S426" i="17" s="1"/>
  <c r="R442" i="17"/>
  <c r="S442" i="17" s="1"/>
  <c r="R458" i="17"/>
  <c r="S458" i="17" s="1"/>
  <c r="R474" i="17"/>
  <c r="S474" i="17" s="1"/>
  <c r="R490" i="17"/>
  <c r="S490" i="17" s="1"/>
  <c r="R506" i="17"/>
  <c r="S506" i="17" s="1"/>
  <c r="Q521" i="17"/>
  <c r="U521" i="17" s="1"/>
  <c r="Q537" i="17"/>
  <c r="U537" i="17" s="1"/>
  <c r="R563" i="17"/>
  <c r="S563" i="17" s="1"/>
  <c r="R525" i="17"/>
  <c r="S525" i="17" s="1"/>
  <c r="R529" i="17"/>
  <c r="S529" i="17" s="1"/>
  <c r="Q546" i="17"/>
  <c r="U546" i="17" s="1"/>
  <c r="Q578" i="17"/>
  <c r="U578" i="17" s="1"/>
  <c r="Q551" i="17"/>
  <c r="U551" i="17" s="1"/>
  <c r="Q567" i="17"/>
  <c r="U567" i="17" s="1"/>
  <c r="Q583" i="17"/>
  <c r="U583" i="17" s="1"/>
  <c r="R599" i="17"/>
  <c r="S599" i="17" s="1"/>
  <c r="R596" i="17"/>
  <c r="S596" i="17" s="1"/>
  <c r="R612" i="17"/>
  <c r="S612" i="17" s="1"/>
  <c r="Q581" i="17"/>
  <c r="U581" i="17" s="1"/>
  <c r="R543" i="17"/>
  <c r="S543" i="17" s="1"/>
  <c r="Q527" i="17"/>
  <c r="U527" i="17" s="1"/>
  <c r="R464" i="17"/>
  <c r="S464" i="17" s="1"/>
  <c r="R503" i="17"/>
  <c r="S503" i="17" s="1"/>
  <c r="R439" i="17"/>
  <c r="S439" i="17" s="1"/>
  <c r="R375" i="17"/>
  <c r="S375" i="17" s="1"/>
  <c r="Q413" i="17"/>
  <c r="U413" i="17" s="1"/>
  <c r="R578" i="17"/>
  <c r="S578" i="17" s="1"/>
  <c r="Q540" i="17"/>
  <c r="U540" i="17" s="1"/>
  <c r="R524" i="17"/>
  <c r="S524" i="17" s="1"/>
  <c r="Q461" i="17"/>
  <c r="U461" i="17" s="1"/>
  <c r="Q500" i="17"/>
  <c r="U500" i="17" s="1"/>
  <c r="Q436" i="17"/>
  <c r="U436" i="17" s="1"/>
  <c r="Q372" i="17"/>
  <c r="U372" i="17" s="1"/>
  <c r="R394" i="17"/>
  <c r="S394" i="17" s="1"/>
  <c r="R358" i="17"/>
  <c r="S358" i="17" s="1"/>
  <c r="R326" i="17"/>
  <c r="S326" i="17" s="1"/>
  <c r="Q294" i="17"/>
  <c r="U294" i="17" s="1"/>
  <c r="Q262" i="17"/>
  <c r="U262" i="17" s="1"/>
  <c r="Q230" i="17"/>
  <c r="U230" i="17" s="1"/>
  <c r="Q198" i="17"/>
  <c r="U198" i="17" s="1"/>
  <c r="Q166" i="17"/>
  <c r="U166" i="17" s="1"/>
  <c r="Q134" i="17"/>
  <c r="U134" i="17" s="1"/>
  <c r="Q307" i="17"/>
  <c r="U307" i="17" s="1"/>
  <c r="Q275" i="17"/>
  <c r="U275" i="17" s="1"/>
  <c r="Q243" i="17"/>
  <c r="U243" i="17" s="1"/>
  <c r="Q211" i="17"/>
  <c r="U211" i="17" s="1"/>
  <c r="Q179" i="17"/>
  <c r="U179" i="17" s="1"/>
  <c r="Q147" i="17"/>
  <c r="U147" i="17" s="1"/>
  <c r="Q322" i="17"/>
  <c r="U322" i="17" s="1"/>
  <c r="Q383" i="17"/>
  <c r="U383" i="17" s="1"/>
  <c r="Q351" i="17"/>
  <c r="U351" i="17" s="1"/>
  <c r="Q319" i="17"/>
  <c r="U319" i="17" s="1"/>
  <c r="R287" i="17"/>
  <c r="S287" i="17" s="1"/>
  <c r="R255" i="17"/>
  <c r="S255" i="17" s="1"/>
  <c r="R223" i="17"/>
  <c r="S223" i="17" s="1"/>
  <c r="R191" i="17"/>
  <c r="S191" i="17" s="1"/>
  <c r="R159" i="17"/>
  <c r="S159" i="17" s="1"/>
  <c r="R127" i="17"/>
  <c r="S127" i="17" s="1"/>
  <c r="R300" i="17"/>
  <c r="S300" i="17" s="1"/>
  <c r="R268" i="17"/>
  <c r="S268" i="17" s="1"/>
  <c r="R236" i="17"/>
  <c r="S236" i="17" s="1"/>
  <c r="R204" i="17"/>
  <c r="S204" i="17" s="1"/>
  <c r="R172" i="17"/>
  <c r="S172" i="17" s="1"/>
  <c r="R140" i="17"/>
  <c r="S140" i="17" s="1"/>
  <c r="Q111" i="17"/>
  <c r="U111" i="17" s="1"/>
  <c r="Q27" i="17"/>
  <c r="U27" i="17" s="1"/>
  <c r="Q59" i="17"/>
  <c r="U59" i="17" s="1"/>
  <c r="Q91" i="17"/>
  <c r="U91" i="17" s="1"/>
  <c r="Q22" i="17"/>
  <c r="Q38" i="17"/>
  <c r="U38" i="17" s="1"/>
  <c r="Q54" i="17"/>
  <c r="U54" i="17" s="1"/>
  <c r="Q70" i="17"/>
  <c r="U70" i="17" s="1"/>
  <c r="Q86" i="17"/>
  <c r="Q102" i="17"/>
  <c r="U102" i="17" s="1"/>
  <c r="R30" i="17"/>
  <c r="S30" i="17" s="1"/>
  <c r="R62" i="17"/>
  <c r="S62" i="17" s="1"/>
  <c r="R94" i="17"/>
  <c r="S94" i="17" s="1"/>
  <c r="R602" i="17"/>
  <c r="S602" i="17" s="1"/>
  <c r="R591" i="17"/>
  <c r="S591" i="17" s="1"/>
  <c r="R440" i="17"/>
  <c r="S440" i="17" s="1"/>
  <c r="R415" i="17"/>
  <c r="S415" i="17" s="1"/>
  <c r="Q599" i="17"/>
  <c r="U599" i="17" s="1"/>
  <c r="R585" i="17"/>
  <c r="S585" i="17" s="1"/>
  <c r="Q437" i="17"/>
  <c r="U437" i="17" s="1"/>
  <c r="Q412" i="17"/>
  <c r="U412" i="17" s="1"/>
  <c r="R378" i="17"/>
  <c r="S378" i="17" s="1"/>
  <c r="Q314" i="17"/>
  <c r="U314" i="17" s="1"/>
  <c r="Q250" i="17"/>
  <c r="U250" i="17" s="1"/>
  <c r="Q186" i="17"/>
  <c r="U186" i="17" s="1"/>
  <c r="Q122" i="17"/>
  <c r="U122" i="17" s="1"/>
  <c r="Q263" i="17"/>
  <c r="U263" i="17" s="1"/>
  <c r="Q199" i="17"/>
  <c r="U199" i="17" s="1"/>
  <c r="Q135" i="17"/>
  <c r="U135" i="17" s="1"/>
  <c r="Q371" i="17"/>
  <c r="U371" i="17" s="1"/>
  <c r="R307" i="17"/>
  <c r="S307" i="17" s="1"/>
  <c r="R243" i="17"/>
  <c r="S243" i="17" s="1"/>
  <c r="R179" i="17"/>
  <c r="S179" i="17" s="1"/>
  <c r="R115" i="17"/>
  <c r="S115" i="17" s="1"/>
  <c r="R256" i="17"/>
  <c r="S256" i="17" s="1"/>
  <c r="R192" i="17"/>
  <c r="S192" i="17" s="1"/>
  <c r="R128" i="17"/>
  <c r="S128" i="17" s="1"/>
  <c r="Q39" i="17"/>
  <c r="U39" i="17" s="1"/>
  <c r="Q103" i="17"/>
  <c r="U103" i="17" s="1"/>
  <c r="Q44" i="17"/>
  <c r="U44" i="17" s="1"/>
  <c r="Q76" i="17"/>
  <c r="U76" i="17" s="1"/>
  <c r="Q108" i="17"/>
  <c r="U108" i="17" s="1"/>
  <c r="R74" i="17"/>
  <c r="S74" i="17" s="1"/>
  <c r="Q590" i="17"/>
  <c r="U590" i="17" s="1"/>
  <c r="R463" i="17"/>
  <c r="S463" i="17" s="1"/>
  <c r="Q584" i="17"/>
  <c r="Q460" i="17"/>
  <c r="U460" i="17" s="1"/>
  <c r="R338" i="17"/>
  <c r="S338" i="17" s="1"/>
  <c r="Q210" i="17"/>
  <c r="U210" i="17" s="1"/>
  <c r="Q287" i="17"/>
  <c r="U287" i="17" s="1"/>
  <c r="Q159" i="17"/>
  <c r="U159" i="17" s="1"/>
  <c r="Q331" i="17"/>
  <c r="U331" i="17" s="1"/>
  <c r="R203" i="17"/>
  <c r="S203" i="17" s="1"/>
  <c r="R280" i="17"/>
  <c r="S280" i="17" s="1"/>
  <c r="R152" i="17"/>
  <c r="S152" i="17" s="1"/>
  <c r="Q79" i="17"/>
  <c r="U79" i="17" s="1"/>
  <c r="Q64" i="17"/>
  <c r="U64" i="17" s="1"/>
  <c r="R50" i="17"/>
  <c r="S50" i="17" s="1"/>
  <c r="Q519" i="17"/>
  <c r="U519" i="17" s="1"/>
  <c r="Q517" i="17"/>
  <c r="U517" i="17" s="1"/>
  <c r="Q290" i="17"/>
  <c r="U290" i="17" s="1"/>
  <c r="Q239" i="17"/>
  <c r="U239" i="17" s="1"/>
  <c r="R283" i="17"/>
  <c r="S283" i="17" s="1"/>
  <c r="R232" i="17"/>
  <c r="S232" i="17" s="1"/>
  <c r="Q24" i="17"/>
  <c r="U24" i="17" s="1"/>
  <c r="R98" i="17"/>
  <c r="S98" i="17" s="1"/>
  <c r="Q428" i="17"/>
  <c r="U428" i="17" s="1"/>
  <c r="Q143" i="17"/>
  <c r="U143" i="17" s="1"/>
  <c r="R136" i="17"/>
  <c r="S136" i="17" s="1"/>
  <c r="R456" i="17"/>
  <c r="S456" i="17" s="1"/>
  <c r="R251" i="17"/>
  <c r="S251" i="17" s="1"/>
  <c r="Q130" i="17"/>
  <c r="Q31" i="17"/>
  <c r="U31" i="17" s="1"/>
  <c r="R541" i="17"/>
  <c r="S541" i="17" s="1"/>
  <c r="Q570" i="17"/>
  <c r="U570" i="17" s="1"/>
  <c r="Q547" i="17"/>
  <c r="U547" i="17" s="1"/>
  <c r="Q563" i="17"/>
  <c r="U563" i="17" s="1"/>
  <c r="Q579" i="17"/>
  <c r="U579" i="17" s="1"/>
  <c r="R595" i="17"/>
  <c r="S595" i="17" s="1"/>
  <c r="R611" i="17"/>
  <c r="S611" i="17" s="1"/>
  <c r="R608" i="17"/>
  <c r="S608" i="17" s="1"/>
  <c r="R597" i="17"/>
  <c r="S597" i="17" s="1"/>
  <c r="Q574" i="17"/>
  <c r="U574" i="17" s="1"/>
  <c r="Q543" i="17"/>
  <c r="U543" i="17" s="1"/>
  <c r="R480" i="17"/>
  <c r="S480" i="17" s="1"/>
  <c r="Q520" i="17"/>
  <c r="U520" i="17" s="1"/>
  <c r="R455" i="17"/>
  <c r="S455" i="17" s="1"/>
  <c r="R391" i="17"/>
  <c r="S391" i="17" s="1"/>
  <c r="R327" i="17"/>
  <c r="S327" i="17" s="1"/>
  <c r="R594" i="17"/>
  <c r="S594" i="17" s="1"/>
  <c r="Q568" i="17"/>
  <c r="U568" i="17" s="1"/>
  <c r="R540" i="17"/>
  <c r="S540" i="17" s="1"/>
  <c r="Q477" i="17"/>
  <c r="U477" i="17" s="1"/>
  <c r="Q516" i="17"/>
  <c r="U516" i="17" s="1"/>
  <c r="Q452" i="17"/>
  <c r="U452" i="17" s="1"/>
  <c r="Q388" i="17"/>
  <c r="U388" i="17" s="1"/>
  <c r="R414" i="17"/>
  <c r="S414" i="17" s="1"/>
  <c r="R366" i="17"/>
  <c r="S366" i="17" s="1"/>
  <c r="R334" i="17"/>
  <c r="S334" i="17" s="1"/>
  <c r="Q302" i="17"/>
  <c r="U302" i="17" s="1"/>
  <c r="Q270" i="17"/>
  <c r="U270" i="17" s="1"/>
  <c r="Q238" i="17"/>
  <c r="Q206" i="17"/>
  <c r="U206" i="17" s="1"/>
  <c r="Q174" i="17"/>
  <c r="U174" i="17" s="1"/>
  <c r="Q142" i="17"/>
  <c r="U142" i="17" s="1"/>
  <c r="Q110" i="17"/>
  <c r="Q283" i="17"/>
  <c r="U283" i="17" s="1"/>
  <c r="Q251" i="17"/>
  <c r="U251" i="17" s="1"/>
  <c r="Q219" i="17"/>
  <c r="U219" i="17" s="1"/>
  <c r="Q187" i="17"/>
  <c r="U187" i="17" s="1"/>
  <c r="Q155" i="17"/>
  <c r="U155" i="17" s="1"/>
  <c r="Q123" i="17"/>
  <c r="U123" i="17" s="1"/>
  <c r="Q391" i="17"/>
  <c r="Q359" i="17"/>
  <c r="U359" i="17" s="1"/>
  <c r="Q327" i="17"/>
  <c r="U327" i="17" s="1"/>
  <c r="R295" i="17"/>
  <c r="S295" i="17" s="1"/>
  <c r="R263" i="17"/>
  <c r="S263" i="17" s="1"/>
  <c r="R231" i="17"/>
  <c r="S231" i="17" s="1"/>
  <c r="R199" i="17"/>
  <c r="S199" i="17" s="1"/>
  <c r="R167" i="17"/>
  <c r="S167" i="17" s="1"/>
  <c r="R135" i="17"/>
  <c r="S135" i="17" s="1"/>
  <c r="R308" i="17"/>
  <c r="S308" i="17" s="1"/>
  <c r="R276" i="17"/>
  <c r="S276" i="17" s="1"/>
  <c r="R244" i="17"/>
  <c r="S244" i="17" s="1"/>
  <c r="R212" i="17"/>
  <c r="S212" i="17" s="1"/>
  <c r="R180" i="17"/>
  <c r="S180" i="17" s="1"/>
  <c r="R148" i="17"/>
  <c r="S148" i="17" s="1"/>
  <c r="R116" i="17"/>
  <c r="S116" i="17" s="1"/>
  <c r="Q19" i="17"/>
  <c r="U19" i="17" s="1"/>
  <c r="Q51" i="17"/>
  <c r="U51" i="17" s="1"/>
  <c r="Q83" i="17"/>
  <c r="U83" i="17" s="1"/>
  <c r="R17" i="17"/>
  <c r="S17" i="17" s="1"/>
  <c r="Q34" i="17"/>
  <c r="U34" i="17" s="1"/>
  <c r="Q50" i="17"/>
  <c r="U50" i="17" s="1"/>
  <c r="Q66" i="17"/>
  <c r="U66" i="17" s="1"/>
  <c r="Q82" i="17"/>
  <c r="U82" i="17" s="1"/>
  <c r="Q98" i="17"/>
  <c r="U98" i="17" s="1"/>
  <c r="R22" i="17"/>
  <c r="S22" i="17" s="1"/>
  <c r="R54" i="17"/>
  <c r="S54" i="17" s="1"/>
  <c r="R86" i="17"/>
  <c r="S86" i="17" s="1"/>
  <c r="Q623" i="17"/>
  <c r="D633" i="17" s="1"/>
  <c r="Q558" i="17"/>
  <c r="U558" i="17" s="1"/>
  <c r="R472" i="17"/>
  <c r="S472" i="17" s="1"/>
  <c r="R447" i="17"/>
  <c r="S447" i="17" s="1"/>
  <c r="R319" i="17"/>
  <c r="S319" i="17" s="1"/>
  <c r="Q552" i="17"/>
  <c r="U552" i="17" s="1"/>
  <c r="Q469" i="17"/>
  <c r="Q444" i="17"/>
  <c r="U444" i="17" s="1"/>
  <c r="R402" i="17"/>
  <c r="S402" i="17" s="1"/>
  <c r="R330" i="17"/>
  <c r="S330" i="17" s="1"/>
  <c r="Q266" i="17"/>
  <c r="U266" i="17" s="1"/>
  <c r="Q202" i="17"/>
  <c r="U202" i="17" s="1"/>
  <c r="Q138" i="17"/>
  <c r="U138" i="17" s="1"/>
  <c r="Q279" i="17"/>
  <c r="U279" i="17" s="1"/>
  <c r="Q215" i="17"/>
  <c r="U215" i="17" s="1"/>
  <c r="Q151" i="17"/>
  <c r="U151" i="17" s="1"/>
  <c r="Q387" i="17"/>
  <c r="U387" i="17" s="1"/>
  <c r="Q323" i="17"/>
  <c r="U323" i="17" s="1"/>
  <c r="R259" i="17"/>
  <c r="S259" i="17" s="1"/>
  <c r="R195" i="17"/>
  <c r="S195" i="17" s="1"/>
  <c r="R131" i="17"/>
  <c r="S131" i="17" s="1"/>
  <c r="R272" i="17"/>
  <c r="S272" i="17" s="1"/>
  <c r="R208" i="17"/>
  <c r="S208" i="17" s="1"/>
  <c r="R144" i="17"/>
  <c r="S144" i="17" s="1"/>
  <c r="Q23" i="17"/>
  <c r="U23" i="17" s="1"/>
  <c r="Q87" i="17"/>
  <c r="U87" i="17" s="1"/>
  <c r="Q36" i="17"/>
  <c r="U36" i="17" s="1"/>
  <c r="Q68" i="17"/>
  <c r="U68" i="17" s="1"/>
  <c r="Q100" i="17"/>
  <c r="U100" i="17" s="1"/>
  <c r="R58" i="17"/>
  <c r="S58" i="17" s="1"/>
  <c r="R605" i="17"/>
  <c r="S605" i="17" s="1"/>
  <c r="R424" i="17"/>
  <c r="S424" i="17" s="1"/>
  <c r="Q602" i="17"/>
  <c r="U602" i="17" s="1"/>
  <c r="Q421" i="17"/>
  <c r="U421" i="17" s="1"/>
  <c r="R370" i="17"/>
  <c r="S370" i="17" s="1"/>
  <c r="Q242" i="17"/>
  <c r="U242" i="17" s="1"/>
  <c r="Q114" i="17"/>
  <c r="U114" i="17" s="1"/>
  <c r="Q191" i="17"/>
  <c r="U191" i="17" s="1"/>
  <c r="Q363" i="17"/>
  <c r="U363" i="17" s="1"/>
  <c r="R235" i="17"/>
  <c r="S235" i="17" s="1"/>
  <c r="R312" i="17"/>
  <c r="S312" i="17" s="1"/>
  <c r="R184" i="17"/>
  <c r="S184" i="17" s="1"/>
  <c r="Q47" i="17"/>
  <c r="U47" i="17" s="1"/>
  <c r="Q48" i="17"/>
  <c r="U48" i="17" s="1"/>
  <c r="R18" i="17"/>
  <c r="S18" i="17" s="1"/>
  <c r="Q573" i="17"/>
  <c r="U573" i="17" s="1"/>
  <c r="R570" i="17"/>
  <c r="S570" i="17" s="1"/>
  <c r="R354" i="17"/>
  <c r="S354" i="17" s="1"/>
  <c r="Q303" i="17"/>
  <c r="U303" i="17" s="1"/>
  <c r="Q347" i="17"/>
  <c r="U347" i="17" s="1"/>
  <c r="R296" i="17"/>
  <c r="S296" i="17" s="1"/>
  <c r="Q63" i="17"/>
  <c r="U63" i="17" s="1"/>
  <c r="R34" i="17"/>
  <c r="S34" i="17" s="1"/>
  <c r="Q532" i="17"/>
  <c r="U532" i="17" s="1"/>
  <c r="Q271" i="17"/>
  <c r="U271" i="17" s="1"/>
  <c r="R264" i="17"/>
  <c r="S264" i="17" s="1"/>
  <c r="R66" i="17"/>
  <c r="S66" i="17" s="1"/>
  <c r="Q207" i="17"/>
  <c r="U207" i="17" s="1"/>
  <c r="R386" i="17"/>
  <c r="S386" i="17" s="1"/>
  <c r="R610" i="17"/>
  <c r="S610" i="17" s="1"/>
  <c r="X583" i="17"/>
  <c r="X430" i="17"/>
  <c r="X190" i="17"/>
  <c r="Y240" i="17"/>
  <c r="X315" i="17"/>
  <c r="X194" i="17"/>
  <c r="X195" i="17"/>
  <c r="X463" i="17"/>
  <c r="Y187" i="17"/>
  <c r="X559" i="17"/>
  <c r="X368" i="17"/>
  <c r="Y559" i="17"/>
  <c r="Y574" i="17"/>
  <c r="X208" i="17"/>
  <c r="Y579" i="17"/>
  <c r="Y530" i="17"/>
  <c r="Y177" i="17"/>
  <c r="X251" i="17"/>
  <c r="Y426" i="17"/>
  <c r="Y490" i="17"/>
  <c r="X561" i="17"/>
  <c r="X322" i="17"/>
  <c r="X566" i="17"/>
  <c r="Y421" i="17"/>
  <c r="X495" i="17"/>
  <c r="X557" i="17"/>
  <c r="X626" i="17"/>
  <c r="Y155" i="17"/>
  <c r="X258" i="17"/>
  <c r="Y318" i="17"/>
  <c r="X130" i="17"/>
  <c r="Y551" i="17"/>
  <c r="X241" i="17"/>
  <c r="Y469" i="17"/>
  <c r="X81" i="17"/>
  <c r="X511" i="17"/>
  <c r="X162" i="17"/>
  <c r="X555" i="17"/>
  <c r="X524" i="17"/>
  <c r="Y382" i="17"/>
  <c r="X254" i="17"/>
  <c r="X126" i="17"/>
  <c r="X35" i="17"/>
  <c r="X589" i="17"/>
  <c r="Y291" i="17"/>
  <c r="Y163" i="17"/>
  <c r="X127" i="17"/>
  <c r="X226" i="17"/>
  <c r="Y322" i="17"/>
  <c r="Y305" i="17"/>
  <c r="Y203" i="17"/>
  <c r="Y333" i="17"/>
  <c r="Y381" i="17"/>
  <c r="Y502" i="17"/>
  <c r="X471" i="17"/>
  <c r="Y533" i="17"/>
  <c r="Y335" i="17"/>
  <c r="Y351" i="17"/>
  <c r="Y367" i="17"/>
  <c r="Y383" i="17"/>
  <c r="Y399" i="17"/>
  <c r="Y431" i="17"/>
  <c r="Y586" i="17"/>
  <c r="Y554" i="17"/>
  <c r="Y532" i="17"/>
  <c r="X508" i="17"/>
  <c r="X476" i="17"/>
  <c r="X380" i="17"/>
  <c r="X348" i="17"/>
  <c r="X509" i="17"/>
  <c r="X445" i="17"/>
  <c r="Y553" i="17"/>
  <c r="X56" i="17"/>
  <c r="X611" i="17"/>
  <c r="X316" i="17"/>
  <c r="Y606" i="17"/>
  <c r="Y444" i="17"/>
  <c r="Y483" i="17"/>
  <c r="Y558" i="17"/>
  <c r="X480" i="17"/>
  <c r="X416" i="17"/>
  <c r="X352" i="17"/>
  <c r="Y406" i="17"/>
  <c r="X362" i="17"/>
  <c r="X426" i="17"/>
  <c r="X458" i="17"/>
  <c r="X490" i="17"/>
  <c r="X548" i="17"/>
  <c r="Y568" i="17"/>
  <c r="Y438" i="17"/>
  <c r="Y470" i="17"/>
  <c r="Y500" i="17"/>
  <c r="Y241" i="17"/>
  <c r="Y474" i="17"/>
  <c r="Y563" i="17"/>
  <c r="Y529" i="17"/>
  <c r="X551" i="17"/>
  <c r="Y503" i="17"/>
  <c r="Y358" i="17"/>
  <c r="X294" i="17"/>
  <c r="X230" i="17"/>
  <c r="X166" i="17"/>
  <c r="X307" i="17"/>
  <c r="Y602" i="17"/>
  <c r="Y591" i="17"/>
  <c r="X331" i="17"/>
  <c r="X64" i="17"/>
  <c r="X290" i="17"/>
  <c r="Y283" i="17"/>
  <c r="Y136" i="17"/>
  <c r="X574" i="17"/>
  <c r="X520" i="17"/>
  <c r="Y391" i="17"/>
  <c r="X215" i="17"/>
  <c r="X100" i="17"/>
  <c r="Y605" i="17"/>
  <c r="X48" i="17"/>
  <c r="Y354" i="17"/>
  <c r="X303" i="17"/>
  <c r="X271" i="17"/>
  <c r="Y81" i="17"/>
  <c r="Y150" i="17"/>
  <c r="X523" i="17"/>
  <c r="X522" i="17"/>
  <c r="Y565" i="17"/>
  <c r="X255" i="17"/>
  <c r="X17" i="17"/>
  <c r="X203" i="17"/>
  <c r="X432" i="17"/>
  <c r="X496" i="17"/>
  <c r="X417" i="17"/>
  <c r="X513" i="17"/>
  <c r="Y520" i="17"/>
  <c r="X330" i="17"/>
  <c r="Y592" i="17"/>
  <c r="M624" i="17"/>
  <c r="N624" i="17"/>
  <c r="X407" i="17"/>
  <c r="X497" i="17"/>
  <c r="X275" i="17"/>
  <c r="X134" i="17"/>
  <c r="X198" i="17"/>
  <c r="X262" i="17"/>
  <c r="Y326" i="17"/>
  <c r="X384" i="17"/>
  <c r="X448" i="17"/>
  <c r="X512" i="17"/>
  <c r="Y442" i="17"/>
  <c r="Y458" i="17"/>
  <c r="Y506" i="17"/>
  <c r="Y536" i="17"/>
  <c r="X560" i="17"/>
  <c r="Y590" i="17"/>
  <c r="X593" i="17"/>
  <c r="Y400" i="17"/>
  <c r="X394" i="17"/>
  <c r="X600" i="17"/>
  <c r="X613" i="17"/>
  <c r="Y360" i="17"/>
  <c r="X296" i="17"/>
  <c r="X232" i="17"/>
  <c r="X168" i="17"/>
  <c r="X159" i="17"/>
  <c r="X16" i="17"/>
  <c r="X219" i="17"/>
  <c r="X155" i="17"/>
  <c r="X57" i="17"/>
  <c r="X41" i="17"/>
  <c r="Y376" i="17"/>
  <c r="X248" i="17"/>
  <c r="X136" i="17"/>
  <c r="X277" i="17"/>
  <c r="X213" i="17"/>
  <c r="Y612" i="17"/>
  <c r="Y549" i="17"/>
  <c r="X531" i="17"/>
  <c r="Y475" i="17"/>
  <c r="Y443" i="17"/>
  <c r="Y379" i="17"/>
  <c r="Y315" i="17"/>
  <c r="X325" i="17"/>
  <c r="Y309" i="17"/>
  <c r="Y293" i="17"/>
  <c r="Y277" i="17"/>
  <c r="Y261" i="17"/>
  <c r="Y245" i="17"/>
  <c r="Y229" i="17"/>
  <c r="Y213" i="17"/>
  <c r="Y197" i="17"/>
  <c r="Y181" i="17"/>
  <c r="Y165" i="17"/>
  <c r="Y149" i="17"/>
  <c r="Y133" i="17"/>
  <c r="Y117" i="17"/>
  <c r="Y306" i="17"/>
  <c r="Y290" i="17"/>
  <c r="Y274" i="17"/>
  <c r="Y258" i="17"/>
  <c r="Y242" i="17"/>
  <c r="Y226" i="17"/>
  <c r="Y210" i="17"/>
  <c r="Y194" i="17"/>
  <c r="Y178" i="17"/>
  <c r="Y162" i="17"/>
  <c r="X113" i="17"/>
  <c r="X578" i="17"/>
  <c r="X546" i="17"/>
  <c r="X515" i="17"/>
  <c r="X499" i="17"/>
  <c r="X483" i="17"/>
  <c r="X467" i="17"/>
  <c r="X383" i="17"/>
  <c r="X351" i="17"/>
  <c r="X319" i="17"/>
  <c r="Y287" i="17"/>
  <c r="Y255" i="17"/>
  <c r="Y223" i="17"/>
  <c r="Y191" i="17"/>
  <c r="Y159" i="17"/>
  <c r="X197" i="17"/>
  <c r="X165" i="17"/>
  <c r="X34" i="17"/>
  <c r="X50" i="17"/>
  <c r="X66" i="17"/>
  <c r="X82" i="17"/>
  <c r="X98" i="17"/>
  <c r="X425" i="17"/>
  <c r="X457" i="17"/>
  <c r="X489" i="17"/>
  <c r="X207" i="17"/>
  <c r="X328" i="17"/>
  <c r="X360" i="17"/>
  <c r="X392" i="17"/>
  <c r="X424" i="17"/>
  <c r="X456" i="17"/>
  <c r="X488" i="17"/>
  <c r="Y434" i="17"/>
  <c r="Y498" i="17"/>
  <c r="X576" i="17"/>
  <c r="Y543" i="17"/>
  <c r="Y566" i="17"/>
  <c r="X598" i="17"/>
  <c r="X553" i="17"/>
  <c r="X585" i="17"/>
  <c r="X160" i="17"/>
  <c r="X192" i="17"/>
  <c r="X224" i="17"/>
  <c r="X256" i="17"/>
  <c r="X288" i="17"/>
  <c r="Y320" i="17"/>
  <c r="Y352" i="17"/>
  <c r="Y384" i="17"/>
  <c r="X474" i="17"/>
  <c r="X506" i="17"/>
  <c r="Y552" i="17"/>
  <c r="Y584" i="17"/>
  <c r="X144" i="17"/>
  <c r="X112" i="17"/>
  <c r="X285" i="17"/>
  <c r="X253" i="17"/>
  <c r="X221" i="17"/>
  <c r="Y515" i="17"/>
  <c r="X27" i="17"/>
  <c r="X91" i="17"/>
  <c r="Y17" i="17"/>
  <c r="X143" i="17"/>
  <c r="X36" i="17"/>
  <c r="X25" i="17"/>
  <c r="Y74" i="17"/>
  <c r="X312" i="17"/>
  <c r="X577" i="17"/>
  <c r="Y339" i="17"/>
  <c r="X592" i="17"/>
  <c r="Y390" i="17"/>
  <c r="X148" i="17"/>
  <c r="X289" i="17"/>
  <c r="X225" i="17"/>
  <c r="X397" i="17"/>
  <c r="X450" i="17"/>
  <c r="X459" i="17"/>
  <c r="Y538" i="17"/>
  <c r="X538" i="17"/>
  <c r="X605" i="17"/>
  <c r="X411" i="17"/>
  <c r="Y357" i="17"/>
  <c r="Y437" i="17"/>
  <c r="Y453" i="17"/>
  <c r="Y485" i="17"/>
  <c r="Y501" i="17"/>
  <c r="Y531" i="17"/>
  <c r="X449" i="17"/>
  <c r="Y336" i="17"/>
  <c r="X173" i="17"/>
  <c r="X33" i="17"/>
  <c r="Y68" i="17"/>
  <c r="X518" i="17"/>
  <c r="X431" i="17"/>
  <c r="X447" i="17"/>
  <c r="X479" i="17"/>
  <c r="Y466" i="17"/>
  <c r="Y521" i="17"/>
  <c r="X575" i="17"/>
  <c r="Y471" i="17"/>
  <c r="X493" i="17"/>
  <c r="Y374" i="17"/>
  <c r="X310" i="17"/>
  <c r="X246" i="17"/>
  <c r="X182" i="17"/>
  <c r="X118" i="17"/>
  <c r="X107" i="17"/>
  <c r="X274" i="17"/>
  <c r="X146" i="17"/>
  <c r="X395" i="17"/>
  <c r="Y267" i="17"/>
  <c r="X587" i="17"/>
  <c r="Y600" i="17"/>
  <c r="Y423" i="17"/>
  <c r="Y350" i="17"/>
  <c r="X286" i="17"/>
  <c r="X222" i="17"/>
  <c r="X158" i="17"/>
  <c r="X299" i="17"/>
  <c r="X267" i="17"/>
  <c r="Y151" i="17"/>
  <c r="Y112" i="17"/>
  <c r="X535" i="17"/>
  <c r="Y511" i="17"/>
  <c r="X247" i="17"/>
  <c r="X355" i="17"/>
  <c r="Y227" i="17"/>
  <c r="Y304" i="17"/>
  <c r="Y90" i="17"/>
  <c r="X306" i="17"/>
  <c r="X178" i="17"/>
  <c r="Y299" i="17"/>
  <c r="Y248" i="17"/>
  <c r="Y120" i="17"/>
  <c r="X379" i="17"/>
  <c r="X19" i="17"/>
  <c r="Y61" i="17"/>
  <c r="Y109" i="17"/>
  <c r="X137" i="17"/>
  <c r="Y110" i="17"/>
  <c r="Y142" i="17"/>
  <c r="Y158" i="17"/>
  <c r="Y190" i="17"/>
  <c r="Y238" i="17"/>
  <c r="Y270" i="17"/>
  <c r="Y286" i="17"/>
  <c r="Y113" i="17"/>
  <c r="Y456" i="17"/>
  <c r="X590" i="17"/>
  <c r="Y557" i="17"/>
  <c r="Y589" i="17"/>
  <c r="X573" i="17"/>
  <c r="X85" i="17"/>
  <c r="Y264" i="17"/>
  <c r="Y296" i="17"/>
  <c r="Y179" i="17"/>
  <c r="Y251" i="17"/>
  <c r="Y317" i="17"/>
  <c r="Y365" i="17"/>
  <c r="Y422" i="17"/>
  <c r="Y454" i="17"/>
  <c r="Y486" i="17"/>
  <c r="X533" i="17"/>
  <c r="X532" i="17"/>
  <c r="X540" i="17"/>
  <c r="X603" i="17"/>
  <c r="X287" i="17"/>
  <c r="X114" i="17"/>
  <c r="X210" i="17"/>
  <c r="X242" i="17"/>
  <c r="Y338" i="17"/>
  <c r="Y370" i="17"/>
  <c r="Y583" i="17"/>
  <c r="Y596" i="17"/>
  <c r="Y598" i="17"/>
  <c r="X189" i="17"/>
  <c r="Y41" i="17"/>
  <c r="Y49" i="17"/>
  <c r="Y57" i="17"/>
  <c r="Y105" i="17"/>
  <c r="Y20" i="17"/>
  <c r="Y36" i="17"/>
  <c r="Y84" i="17"/>
  <c r="X60" i="17"/>
  <c r="Y139" i="17"/>
  <c r="Y216" i="17"/>
  <c r="X139" i="17"/>
  <c r="Y176" i="17"/>
  <c r="X175" i="17"/>
  <c r="X51" i="17"/>
  <c r="Y66" i="17"/>
  <c r="X76" i="17"/>
  <c r="X69" i="17"/>
  <c r="Y280" i="17"/>
  <c r="Y232" i="17"/>
  <c r="Y152" i="17"/>
  <c r="X157" i="17"/>
  <c r="Y89" i="17"/>
  <c r="X68" i="17"/>
  <c r="Y42" i="17"/>
  <c r="X622" i="17"/>
  <c r="X318" i="17"/>
  <c r="Y372" i="17"/>
  <c r="Y356" i="17"/>
  <c r="Y340" i="17"/>
  <c r="Y324" i="17"/>
  <c r="X308" i="17"/>
  <c r="X292" i="17"/>
  <c r="X276" i="17"/>
  <c r="X260" i="17"/>
  <c r="X244" i="17"/>
  <c r="X228" i="17"/>
  <c r="X212" i="17"/>
  <c r="X196" i="17"/>
  <c r="X180" i="17"/>
  <c r="X164" i="17"/>
  <c r="X370" i="17"/>
  <c r="X607" i="17"/>
  <c r="Y562" i="17"/>
  <c r="X484" i="17"/>
  <c r="X420" i="17"/>
  <c r="X356" i="17"/>
  <c r="X485" i="17"/>
  <c r="X453" i="17"/>
  <c r="X317" i="17"/>
  <c r="Y301" i="17"/>
  <c r="Y285" i="17"/>
  <c r="Y269" i="17"/>
  <c r="Y253" i="17"/>
  <c r="Y237" i="17"/>
  <c r="Y221" i="17"/>
  <c r="Y205" i="17"/>
  <c r="Y189" i="17"/>
  <c r="Y173" i="17"/>
  <c r="Y157" i="17"/>
  <c r="Y141" i="17"/>
  <c r="Y125" i="17"/>
  <c r="Y314" i="17"/>
  <c r="Y298" i="17"/>
  <c r="Y282" i="17"/>
  <c r="Y266" i="17"/>
  <c r="Y250" i="17"/>
  <c r="Y234" i="17"/>
  <c r="Y218" i="17"/>
  <c r="Y202" i="17"/>
  <c r="Y186" i="17"/>
  <c r="Y170" i="17"/>
  <c r="X193" i="17"/>
  <c r="X161" i="17"/>
  <c r="X129" i="17"/>
  <c r="X14" i="17"/>
  <c r="X30" i="17"/>
  <c r="X46" i="17"/>
  <c r="X62" i="17"/>
  <c r="X78" i="17"/>
  <c r="X94" i="17"/>
  <c r="X609" i="17"/>
  <c r="X612" i="17"/>
  <c r="X596" i="17"/>
  <c r="Y580" i="17"/>
  <c r="Y564" i="17"/>
  <c r="Y548" i="17"/>
  <c r="Y571" i="17"/>
  <c r="Y541" i="17"/>
  <c r="Y448" i="17"/>
  <c r="Y432" i="17"/>
  <c r="Y519" i="17"/>
  <c r="X502" i="17"/>
  <c r="X486" i="17"/>
  <c r="X470" i="17"/>
  <c r="X454" i="17"/>
  <c r="X438" i="17"/>
  <c r="X406" i="17"/>
  <c r="X390" i="17"/>
  <c r="X374" i="17"/>
  <c r="X358" i="17"/>
  <c r="X342" i="17"/>
  <c r="X326" i="17"/>
  <c r="Y412" i="17"/>
  <c r="X268" i="17"/>
  <c r="X252" i="17"/>
  <c r="X236" i="17"/>
  <c r="X220" i="17"/>
  <c r="X204" i="17"/>
  <c r="X188" i="17"/>
  <c r="X172" i="17"/>
  <c r="X156" i="17"/>
  <c r="X608" i="17"/>
  <c r="Y544" i="17"/>
  <c r="Y428" i="17"/>
  <c r="X466" i="17"/>
  <c r="X402" i="17"/>
  <c r="Y613" i="17"/>
  <c r="X549" i="17"/>
  <c r="X610" i="17"/>
  <c r="Y546" i="17"/>
  <c r="Y539" i="17"/>
  <c r="X568" i="17"/>
  <c r="Y462" i="17"/>
  <c r="X468" i="17"/>
  <c r="X404" i="17"/>
  <c r="X340" i="17"/>
  <c r="Y346" i="17"/>
  <c r="X282" i="17"/>
  <c r="X218" i="17"/>
  <c r="X154" i="17"/>
  <c r="X295" i="17"/>
  <c r="X469" i="17"/>
  <c r="X353" i="17"/>
  <c r="X177" i="17"/>
  <c r="X145" i="17"/>
  <c r="X259" i="17"/>
  <c r="X227" i="17"/>
  <c r="Y608" i="17"/>
  <c r="Y595" i="17"/>
  <c r="X563" i="17"/>
  <c r="X529" i="17"/>
  <c r="X399" i="17"/>
  <c r="X367" i="17"/>
  <c r="X335" i="17"/>
  <c r="Y303" i="17"/>
  <c r="Y271" i="17"/>
  <c r="Y239" i="17"/>
  <c r="Y207" i="17"/>
  <c r="Y175" i="17"/>
  <c r="X125" i="17"/>
  <c r="Y15" i="17"/>
  <c r="Y23" i="17"/>
  <c r="Y31" i="17"/>
  <c r="Y39" i="17"/>
  <c r="Y47" i="17"/>
  <c r="Y55" i="17"/>
  <c r="Y63" i="17"/>
  <c r="Y71" i="17"/>
  <c r="Y79" i="17"/>
  <c r="Y87" i="17"/>
  <c r="Y95" i="17"/>
  <c r="Y103" i="17"/>
  <c r="X18" i="17"/>
  <c r="X26" i="17"/>
  <c r="X42" i="17"/>
  <c r="X58" i="17"/>
  <c r="X74" i="17"/>
  <c r="X90" i="17"/>
  <c r="X106" i="17"/>
  <c r="X333" i="17"/>
  <c r="X349" i="17"/>
  <c r="Y327" i="17"/>
  <c r="Y343" i="17"/>
  <c r="Y359" i="17"/>
  <c r="Y375" i="17"/>
  <c r="X481" i="17"/>
  <c r="X527" i="17"/>
  <c r="X526" i="17"/>
  <c r="X542" i="17"/>
  <c r="X591" i="17"/>
  <c r="Y604" i="17"/>
  <c r="X291" i="17"/>
  <c r="X150" i="17"/>
  <c r="X214" i="17"/>
  <c r="X278" i="17"/>
  <c r="Y342" i="17"/>
  <c r="X320" i="17"/>
  <c r="X336" i="17"/>
  <c r="X400" i="17"/>
  <c r="X464" i="17"/>
  <c r="Y535" i="17"/>
  <c r="X606" i="17"/>
  <c r="X545" i="17"/>
  <c r="Y609" i="17"/>
  <c r="X209" i="17"/>
  <c r="X257" i="17"/>
  <c r="X273" i="17"/>
  <c r="X116" i="17"/>
  <c r="X132" i="17"/>
  <c r="X176" i="17"/>
  <c r="X240" i="17"/>
  <c r="X272" i="17"/>
  <c r="X304" i="17"/>
  <c r="Y368" i="17"/>
  <c r="Y420" i="17"/>
  <c r="Y452" i="17"/>
  <c r="Y484" i="17"/>
  <c r="Y516" i="17"/>
  <c r="X514" i="17"/>
  <c r="X386" i="17"/>
  <c r="X128" i="17"/>
  <c r="X301" i="17"/>
  <c r="X269" i="17"/>
  <c r="X237" i="17"/>
  <c r="X205" i="17"/>
  <c r="X602" i="17"/>
  <c r="Y570" i="17"/>
  <c r="X552" i="17"/>
  <c r="X492" i="17"/>
  <c r="X460" i="17"/>
  <c r="X428" i="17"/>
  <c r="X396" i="17"/>
  <c r="X364" i="17"/>
  <c r="X332" i="17"/>
  <c r="Y402" i="17"/>
  <c r="X461" i="17"/>
  <c r="Y467" i="17"/>
  <c r="Y435" i="17"/>
  <c r="Y371" i="17"/>
  <c r="X409" i="17"/>
  <c r="X345" i="17"/>
  <c r="Y289" i="17"/>
  <c r="Y273" i="17"/>
  <c r="Y225" i="17"/>
  <c r="Y209" i="17"/>
  <c r="Y161" i="17"/>
  <c r="Y145" i="17"/>
  <c r="Y262" i="17"/>
  <c r="Y230" i="17"/>
  <c r="X185" i="17"/>
  <c r="X121" i="17"/>
  <c r="X235" i="17"/>
  <c r="Y585" i="17"/>
  <c r="X554" i="17"/>
  <c r="X455" i="17"/>
  <c r="X423" i="17"/>
  <c r="Y429" i="17"/>
  <c r="Y397" i="17"/>
  <c r="X403" i="17"/>
  <c r="X371" i="17"/>
  <c r="Y275" i="17"/>
  <c r="Y243" i="17"/>
  <c r="Y147" i="17"/>
  <c r="Y115" i="17"/>
  <c r="Y224" i="17"/>
  <c r="Y192" i="17"/>
  <c r="X171" i="17"/>
  <c r="Y13" i="17"/>
  <c r="Y29" i="17"/>
  <c r="Y77" i="17"/>
  <c r="Y93" i="17"/>
  <c r="Y44" i="17"/>
  <c r="X43" i="17"/>
  <c r="X75" i="17"/>
  <c r="X101" i="17"/>
  <c r="X32" i="17"/>
  <c r="X80" i="17"/>
  <c r="X96" i="17"/>
  <c r="Y18" i="17"/>
  <c r="Y50" i="17"/>
  <c r="X49" i="17"/>
  <c r="X97" i="17"/>
  <c r="Y254" i="17"/>
  <c r="Y222" i="17"/>
  <c r="X169" i="17"/>
  <c r="Y569" i="17"/>
  <c r="X541" i="17"/>
  <c r="Y517" i="17"/>
  <c r="Y389" i="17"/>
  <c r="X363" i="17"/>
  <c r="Y235" i="17"/>
  <c r="Y312" i="17"/>
  <c r="Y184" i="17"/>
  <c r="Y33" i="17"/>
  <c r="Y97" i="17"/>
  <c r="Y52" i="17"/>
  <c r="X83" i="17"/>
  <c r="Y626" i="17"/>
  <c r="X20" i="17"/>
  <c r="X84" i="17"/>
  <c r="Y26" i="17"/>
  <c r="Y73" i="17"/>
  <c r="X28" i="17"/>
  <c r="X92" i="17"/>
  <c r="X570" i="17"/>
  <c r="Y405" i="17"/>
  <c r="Y25" i="17"/>
  <c r="Y200" i="17"/>
  <c r="Y123" i="17"/>
  <c r="X199" i="17"/>
  <c r="X67" i="17"/>
  <c r="X263" i="17"/>
  <c r="X63" i="17"/>
  <c r="X314" i="17"/>
  <c r="Y577" i="17"/>
  <c r="Y409" i="17"/>
  <c r="Y220" i="17"/>
  <c r="Y542" i="17"/>
  <c r="Y316" i="17"/>
  <c r="X581" i="17"/>
  <c r="Y494" i="17"/>
  <c r="X186" i="17"/>
  <c r="X582" i="17"/>
  <c r="X435" i="17"/>
  <c r="Y480" i="17"/>
  <c r="Y380" i="17"/>
  <c r="X338" i="17"/>
  <c r="X184" i="17"/>
  <c r="Y430" i="17"/>
  <c r="Y378" i="17"/>
  <c r="X250" i="17"/>
  <c r="X122" i="17"/>
  <c r="X567" i="17"/>
  <c r="Y114" i="17"/>
  <c r="Y473" i="17"/>
  <c r="Y345" i="17"/>
  <c r="Y284" i="17"/>
  <c r="Y156" i="17"/>
  <c r="X437" i="17"/>
  <c r="Y32" i="17"/>
  <c r="X119" i="17"/>
  <c r="Y70" i="17"/>
  <c r="Y525" i="17"/>
  <c r="Y512" i="17"/>
  <c r="X422" i="17"/>
  <c r="Y348" i="17"/>
  <c r="X284" i="17"/>
  <c r="X564" i="17"/>
  <c r="X309" i="17"/>
  <c r="X245" i="17"/>
  <c r="Y578" i="17"/>
  <c r="Y524" i="17"/>
  <c r="X500" i="17"/>
  <c r="X436" i="17"/>
  <c r="X372" i="17"/>
  <c r="Y410" i="17"/>
  <c r="Y146" i="17"/>
  <c r="X528" i="17"/>
  <c r="Y505" i="17"/>
  <c r="Y441" i="17"/>
  <c r="Y377" i="17"/>
  <c r="X415" i="17"/>
  <c r="Y143" i="17"/>
  <c r="Y411" i="17"/>
  <c r="X385" i="17"/>
  <c r="Y96" i="17"/>
  <c r="X77" i="17"/>
  <c r="X37" i="17"/>
  <c r="X539" i="17"/>
  <c r="Y476" i="17"/>
  <c r="Y451" i="17"/>
  <c r="Y130" i="17"/>
  <c r="X419" i="17"/>
  <c r="X451" i="17"/>
  <c r="Y445" i="17"/>
  <c r="Y461" i="17"/>
  <c r="Y493" i="17"/>
  <c r="Y509" i="17"/>
  <c r="Y347" i="17"/>
  <c r="X321" i="17"/>
  <c r="Y257" i="17"/>
  <c r="Y193" i="17"/>
  <c r="Y129" i="17"/>
  <c r="Y302" i="17"/>
  <c r="Y206" i="17"/>
  <c r="Y174" i="17"/>
  <c r="Y126" i="17"/>
  <c r="X73" i="17"/>
  <c r="Y45" i="17"/>
  <c r="Y60" i="17"/>
  <c r="Y76" i="17"/>
  <c r="Y108" i="17"/>
  <c r="X111" i="17"/>
  <c r="X44" i="17"/>
  <c r="X108" i="17"/>
  <c r="X572" i="17"/>
  <c r="Y526" i="17"/>
  <c r="Y496" i="17"/>
  <c r="Y464" i="17"/>
  <c r="Y396" i="17"/>
  <c r="Y364" i="17"/>
  <c r="Y332" i="17"/>
  <c r="X300" i="17"/>
  <c r="Y492" i="17"/>
  <c r="X223" i="17"/>
  <c r="Y573" i="17"/>
  <c r="X543" i="17"/>
  <c r="X465" i="17"/>
  <c r="X433" i="17"/>
  <c r="Y487" i="17"/>
  <c r="Y455" i="17"/>
  <c r="Y439" i="17"/>
  <c r="Y407" i="17"/>
  <c r="X413" i="17"/>
  <c r="X381" i="17"/>
  <c r="Y545" i="17"/>
  <c r="Y489" i="17"/>
  <c r="Y457" i="17"/>
  <c r="Y425" i="17"/>
  <c r="Y393" i="17"/>
  <c r="Y361" i="17"/>
  <c r="Y329" i="17"/>
  <c r="Y111" i="17"/>
  <c r="Y252" i="17"/>
  <c r="Y188" i="17"/>
  <c r="Y124" i="17"/>
  <c r="X501" i="17"/>
  <c r="X429" i="17"/>
  <c r="Y499" i="17"/>
  <c r="Y403" i="17"/>
  <c r="X377" i="17"/>
  <c r="Y121" i="17"/>
  <c r="Y294" i="17"/>
  <c r="Y198" i="17"/>
  <c r="Y166" i="17"/>
  <c r="Y134" i="17"/>
  <c r="Y603" i="17"/>
  <c r="X525" i="17"/>
  <c r="X487" i="17"/>
  <c r="Y373" i="17"/>
  <c r="Y341" i="17"/>
  <c r="Y325" i="17"/>
  <c r="X347" i="17"/>
  <c r="Y307" i="17"/>
  <c r="Y211" i="17"/>
  <c r="Y171" i="17"/>
  <c r="Y288" i="17"/>
  <c r="Y256" i="17"/>
  <c r="Y168" i="17"/>
  <c r="Y128" i="17"/>
  <c r="X123" i="17"/>
  <c r="Y65" i="17"/>
  <c r="X99" i="17"/>
  <c r="X131" i="17"/>
  <c r="Y64" i="17"/>
  <c r="X31" i="17"/>
  <c r="X95" i="17"/>
  <c r="X191" i="17"/>
  <c r="Y38" i="17"/>
  <c r="Y102" i="17"/>
  <c r="X52" i="17"/>
  <c r="Y82" i="17"/>
  <c r="Y106" i="17"/>
  <c r="X414" i="17"/>
  <c r="X398" i="17"/>
  <c r="X382" i="17"/>
  <c r="X366" i="17"/>
  <c r="X350" i="17"/>
  <c r="X334" i="17"/>
  <c r="Y404" i="17"/>
  <c r="Y388" i="17"/>
  <c r="Y344" i="17"/>
  <c r="X280" i="17"/>
  <c r="X216" i="17"/>
  <c r="X152" i="17"/>
  <c r="X120" i="17"/>
  <c r="X293" i="17"/>
  <c r="X261" i="17"/>
  <c r="X229" i="17"/>
  <c r="Y594" i="17"/>
  <c r="Y540" i="17"/>
  <c r="X516" i="17"/>
  <c r="X452" i="17"/>
  <c r="X388" i="17"/>
  <c r="X324" i="17"/>
  <c r="Y394" i="17"/>
  <c r="X517" i="17"/>
  <c r="X421" i="17"/>
  <c r="Y427" i="17"/>
  <c r="Y395" i="17"/>
  <c r="Y363" i="17"/>
  <c r="Y331" i="17"/>
  <c r="X401" i="17"/>
  <c r="X369" i="17"/>
  <c r="X337" i="17"/>
  <c r="Y561" i="17"/>
  <c r="X536" i="17"/>
  <c r="X181" i="17"/>
  <c r="X149" i="17"/>
  <c r="Y19" i="17"/>
  <c r="Y27" i="17"/>
  <c r="Y35" i="17"/>
  <c r="Y43" i="17"/>
  <c r="Y51" i="17"/>
  <c r="Y59" i="17"/>
  <c r="Y67" i="17"/>
  <c r="Y75" i="17"/>
  <c r="Y83" i="17"/>
  <c r="Y91" i="17"/>
  <c r="Y99" i="17"/>
  <c r="Y107" i="17"/>
  <c r="X133" i="17"/>
  <c r="X22" i="17"/>
  <c r="X38" i="17"/>
  <c r="X54" i="17"/>
  <c r="X70" i="17"/>
  <c r="X86" i="17"/>
  <c r="X102" i="17"/>
  <c r="X341" i="17"/>
  <c r="X357" i="17"/>
  <c r="X373" i="17"/>
  <c r="X389" i="17"/>
  <c r="X405" i="17"/>
  <c r="Y319" i="17"/>
  <c r="Y415" i="17"/>
  <c r="Y447" i="17"/>
  <c r="X441" i="17"/>
  <c r="X473" i="17"/>
  <c r="X505" i="17"/>
  <c r="Y593" i="17"/>
  <c r="Y398" i="17"/>
  <c r="Y414" i="17"/>
  <c r="X344" i="17"/>
  <c r="X376" i="17"/>
  <c r="X408" i="17"/>
  <c r="X440" i="17"/>
  <c r="X472" i="17"/>
  <c r="X504" i="17"/>
  <c r="Y528" i="17"/>
  <c r="X544" i="17"/>
  <c r="Y550" i="17"/>
  <c r="Y582" i="17"/>
  <c r="X595" i="17"/>
  <c r="X201" i="17"/>
  <c r="X217" i="17"/>
  <c r="X233" i="17"/>
  <c r="X249" i="17"/>
  <c r="X265" i="17"/>
  <c r="X281" i="17"/>
  <c r="X297" i="17"/>
  <c r="X313" i="17"/>
  <c r="X124" i="17"/>
  <c r="X140" i="17"/>
  <c r="X346" i="17"/>
  <c r="X378" i="17"/>
  <c r="X410" i="17"/>
  <c r="Y328" i="17"/>
  <c r="X264" i="17"/>
  <c r="X200" i="17"/>
  <c r="X599" i="17"/>
  <c r="X584" i="17"/>
  <c r="X444" i="17"/>
  <c r="X412" i="17"/>
  <c r="Y386" i="17"/>
  <c r="X477" i="17"/>
  <c r="Y419" i="17"/>
  <c r="Y387" i="17"/>
  <c r="Y355" i="17"/>
  <c r="Y323" i="17"/>
  <c r="X153" i="17"/>
  <c r="Y21" i="17"/>
  <c r="Y37" i="17"/>
  <c r="Y53" i="17"/>
  <c r="Y69" i="17"/>
  <c r="Y85" i="17"/>
  <c r="Y101" i="17"/>
  <c r="X24" i="17"/>
  <c r="Y127" i="17"/>
  <c r="Y300" i="17"/>
  <c r="Y268" i="17"/>
  <c r="Y236" i="17"/>
  <c r="Y204" i="17"/>
  <c r="Y172" i="17"/>
  <c r="Y140" i="17"/>
  <c r="Y507" i="17"/>
  <c r="X163" i="17"/>
  <c r="Y16" i="17"/>
  <c r="Y48" i="17"/>
  <c r="Y80" i="17"/>
  <c r="X15" i="17"/>
  <c r="X47" i="17"/>
  <c r="X79" i="17"/>
  <c r="Y622" i="17"/>
  <c r="X109" i="17"/>
  <c r="X151" i="17"/>
  <c r="Y22" i="17"/>
  <c r="Y54" i="17"/>
  <c r="Y86" i="17"/>
  <c r="X21" i="17"/>
  <c r="X53" i="17"/>
  <c r="X105" i="17"/>
  <c r="Y572" i="17"/>
  <c r="Y518" i="17"/>
  <c r="X494" i="17"/>
  <c r="Y433" i="17"/>
  <c r="Y279" i="17"/>
  <c r="Y228" i="17"/>
  <c r="J625" i="17"/>
  <c r="I625" i="17"/>
  <c r="C625" i="17"/>
  <c r="O625" i="17"/>
  <c r="D625" i="17"/>
  <c r="F625" i="17"/>
  <c r="P625" i="17"/>
  <c r="K625" i="17"/>
  <c r="E625" i="17"/>
  <c r="L625" i="17"/>
  <c r="I624" i="17"/>
  <c r="K624" i="17"/>
  <c r="C624" i="17"/>
  <c r="F624" i="17"/>
  <c r="P624" i="17"/>
  <c r="L624" i="17"/>
  <c r="J624" i="17"/>
  <c r="D624" i="17"/>
  <c r="E624" i="17"/>
  <c r="O624" i="17"/>
  <c r="X418" i="17"/>
  <c r="X354" i="17"/>
  <c r="Y392" i="17"/>
  <c r="X393" i="17"/>
  <c r="X361" i="17"/>
  <c r="X329" i="17"/>
  <c r="Y313" i="17"/>
  <c r="Y297" i="17"/>
  <c r="Y281" i="17"/>
  <c r="Y265" i="17"/>
  <c r="Y249" i="17"/>
  <c r="Y233" i="17"/>
  <c r="Y217" i="17"/>
  <c r="Y201" i="17"/>
  <c r="Y185" i="17"/>
  <c r="Y169" i="17"/>
  <c r="Y153" i="17"/>
  <c r="Y137" i="17"/>
  <c r="Y310" i="17"/>
  <c r="Y278" i="17"/>
  <c r="Y246" i="17"/>
  <c r="Y214" i="17"/>
  <c r="Y182" i="17"/>
  <c r="X141" i="17"/>
  <c r="X40" i="17"/>
  <c r="X72" i="17"/>
  <c r="X88" i="17"/>
  <c r="X104" i="17"/>
  <c r="N625" i="17"/>
  <c r="X604" i="17"/>
  <c r="Y587" i="17"/>
  <c r="X556" i="17"/>
  <c r="Y488" i="17"/>
  <c r="Y424" i="17"/>
  <c r="X462" i="17"/>
  <c r="Y601" i="17"/>
  <c r="X569" i="17"/>
  <c r="Y575" i="17"/>
  <c r="Y527" i="17"/>
  <c r="Y514" i="17"/>
  <c r="Y482" i="17"/>
  <c r="Y450" i="17"/>
  <c r="Y418" i="17"/>
  <c r="Y366" i="17"/>
  <c r="Y334" i="17"/>
  <c r="X302" i="17"/>
  <c r="X270" i="17"/>
  <c r="X238" i="17"/>
  <c r="X206" i="17"/>
  <c r="X174" i="17"/>
  <c r="X142" i="17"/>
  <c r="X110" i="17"/>
  <c r="X283" i="17"/>
  <c r="X597" i="17"/>
  <c r="Y560" i="17"/>
  <c r="Y547" i="17"/>
  <c r="X580" i="17"/>
  <c r="Y508" i="17"/>
  <c r="Y468" i="17"/>
  <c r="Y436" i="17"/>
  <c r="X482" i="17"/>
  <c r="X442" i="17"/>
  <c r="Y416" i="17"/>
  <c r="X239" i="17"/>
  <c r="Y607" i="17"/>
  <c r="X534" i="17"/>
  <c r="X558" i="17"/>
  <c r="X519" i="17"/>
  <c r="Y479" i="17"/>
  <c r="Y138" i="17"/>
  <c r="Y611" i="17"/>
  <c r="X521" i="17"/>
  <c r="Y497" i="17"/>
  <c r="Y369" i="17"/>
  <c r="X343" i="17"/>
  <c r="Y215" i="17"/>
  <c r="Y292" i="17"/>
  <c r="Y164" i="17"/>
  <c r="X601" i="17"/>
  <c r="Y588" i="17"/>
  <c r="Y556" i="17"/>
  <c r="Y555" i="17"/>
  <c r="X588" i="17"/>
  <c r="Y534" i="17"/>
  <c r="Y504" i="17"/>
  <c r="Y472" i="17"/>
  <c r="Y440" i="17"/>
  <c r="X510" i="17"/>
  <c r="X478" i="17"/>
  <c r="X446" i="17"/>
  <c r="Y576" i="17"/>
  <c r="Y537" i="17"/>
  <c r="Y522" i="17"/>
  <c r="Y460" i="17"/>
  <c r="X498" i="17"/>
  <c r="X434" i="17"/>
  <c r="Y408" i="17"/>
  <c r="Y610" i="17"/>
  <c r="Y597" i="17"/>
  <c r="X565" i="17"/>
  <c r="Y567" i="17"/>
  <c r="Y523" i="17"/>
  <c r="Y510" i="17"/>
  <c r="Y478" i="17"/>
  <c r="Y446" i="17"/>
  <c r="Y362" i="17"/>
  <c r="Y330" i="17"/>
  <c r="X298" i="17"/>
  <c r="X266" i="17"/>
  <c r="X234" i="17"/>
  <c r="X202" i="17"/>
  <c r="X170" i="17"/>
  <c r="X138" i="17"/>
  <c r="X311" i="17"/>
  <c r="X279" i="17"/>
  <c r="X231" i="17"/>
  <c r="Y599" i="17"/>
  <c r="Y581" i="17"/>
  <c r="X530" i="17"/>
  <c r="X550" i="17"/>
  <c r="Y495" i="17"/>
  <c r="Y463" i="17"/>
  <c r="X243" i="17"/>
  <c r="X547" i="17"/>
  <c r="X562" i="17"/>
  <c r="X491" i="17"/>
  <c r="X427" i="17"/>
  <c r="Y465" i="17"/>
  <c r="Y401" i="17"/>
  <c r="Y337" i="17"/>
  <c r="X375" i="17"/>
  <c r="Y311" i="17"/>
  <c r="Y247" i="17"/>
  <c r="Y183" i="17"/>
  <c r="Y119" i="17"/>
  <c r="Y260" i="17"/>
  <c r="Y196" i="17"/>
  <c r="Y132" i="17"/>
  <c r="X55" i="17"/>
  <c r="Y24" i="17"/>
  <c r="X135" i="17"/>
  <c r="Y62" i="17"/>
  <c r="Y88" i="17"/>
  <c r="X623" i="17"/>
  <c r="X29" i="17"/>
  <c r="X147" i="17"/>
  <c r="Y56" i="17"/>
  <c r="X23" i="17"/>
  <c r="X87" i="17"/>
  <c r="Y30" i="17"/>
  <c r="Y94" i="17"/>
  <c r="X61" i="17"/>
  <c r="Y154" i="17"/>
  <c r="Y122" i="17"/>
  <c r="X187" i="17"/>
  <c r="X211" i="17"/>
  <c r="X579" i="17"/>
  <c r="X594" i="17"/>
  <c r="X537" i="17"/>
  <c r="X507" i="17"/>
  <c r="X475" i="17"/>
  <c r="X443" i="17"/>
  <c r="Y513" i="17"/>
  <c r="Y481" i="17"/>
  <c r="Y449" i="17"/>
  <c r="Y417" i="17"/>
  <c r="Y385" i="17"/>
  <c r="Y353" i="17"/>
  <c r="Y321" i="17"/>
  <c r="X391" i="17"/>
  <c r="X359" i="17"/>
  <c r="X327" i="17"/>
  <c r="Y295" i="17"/>
  <c r="Y263" i="17"/>
  <c r="Y231" i="17"/>
  <c r="Y199" i="17"/>
  <c r="Y167" i="17"/>
  <c r="Y135" i="17"/>
  <c r="Y308" i="17"/>
  <c r="Y276" i="17"/>
  <c r="Y244" i="17"/>
  <c r="Y212" i="17"/>
  <c r="Y180" i="17"/>
  <c r="Y148" i="17"/>
  <c r="Y116" i="17"/>
  <c r="Y491" i="17"/>
  <c r="Y459" i="17"/>
  <c r="Y118" i="17"/>
  <c r="X179" i="17"/>
  <c r="X571" i="17"/>
  <c r="X586" i="17"/>
  <c r="X503" i="17"/>
  <c r="X439" i="17"/>
  <c r="Y477" i="17"/>
  <c r="Y413" i="17"/>
  <c r="Y349" i="17"/>
  <c r="X387" i="17"/>
  <c r="X323" i="17"/>
  <c r="Y259" i="17"/>
  <c r="Y195" i="17"/>
  <c r="Y131" i="17"/>
  <c r="Y272" i="17"/>
  <c r="Y208" i="17"/>
  <c r="Y144" i="17"/>
  <c r="Y28" i="17"/>
  <c r="Y92" i="17"/>
  <c r="X59" i="17"/>
  <c r="X183" i="17"/>
  <c r="X115" i="17"/>
  <c r="Y40" i="17"/>
  <c r="Y72" i="17"/>
  <c r="Y104" i="17"/>
  <c r="X39" i="17"/>
  <c r="X71" i="17"/>
  <c r="X103" i="17"/>
  <c r="X93" i="17"/>
  <c r="X167" i="17"/>
  <c r="Y14" i="17"/>
  <c r="Y46" i="17"/>
  <c r="Y78" i="17"/>
  <c r="X13" i="17"/>
  <c r="X45" i="17"/>
  <c r="X89" i="17"/>
  <c r="X117" i="17"/>
  <c r="Y34" i="17"/>
  <c r="Y98" i="17"/>
  <c r="X65" i="17"/>
  <c r="Y623" i="17"/>
  <c r="AB627" i="17" l="1"/>
  <c r="R627" i="17"/>
  <c r="S627" i="17" s="1"/>
  <c r="AA627" i="17"/>
  <c r="AD468" i="17"/>
  <c r="AE468" i="17" s="1"/>
  <c r="U469" i="17"/>
  <c r="AD390" i="17"/>
  <c r="AE390" i="17" s="1"/>
  <c r="U391" i="17"/>
  <c r="AD85" i="17"/>
  <c r="AE85" i="17" s="1"/>
  <c r="U86" i="17"/>
  <c r="AD21" i="17"/>
  <c r="AE21" i="17" s="1"/>
  <c r="U22" i="17"/>
  <c r="AD292" i="17"/>
  <c r="AE292" i="17" s="1"/>
  <c r="U293" i="17"/>
  <c r="AD613" i="17"/>
  <c r="AE613" i="17" s="1"/>
  <c r="U613" i="17"/>
  <c r="AD299" i="17"/>
  <c r="AE299" i="17" s="1"/>
  <c r="U300" i="17"/>
  <c r="AD329" i="17"/>
  <c r="AE329" i="17" s="1"/>
  <c r="U330" i="17"/>
  <c r="AD17" i="17"/>
  <c r="AE17" i="17" s="1"/>
  <c r="U18" i="17"/>
  <c r="AD109" i="17"/>
  <c r="AE109" i="17" s="1"/>
  <c r="U110" i="17"/>
  <c r="AD237" i="17"/>
  <c r="AE237" i="17" s="1"/>
  <c r="U238" i="17"/>
  <c r="AD129" i="17"/>
  <c r="AE129" i="17" s="1"/>
  <c r="U130" i="17"/>
  <c r="AD584" i="17"/>
  <c r="AE584" i="17" s="1"/>
  <c r="U584" i="17"/>
  <c r="AD487" i="17"/>
  <c r="AE487" i="17" s="1"/>
  <c r="U487" i="17"/>
  <c r="AD429" i="17"/>
  <c r="AE429" i="17" s="1"/>
  <c r="U430" i="17"/>
  <c r="AD116" i="17"/>
  <c r="AE116" i="17" s="1"/>
  <c r="U117" i="17"/>
  <c r="AD257" i="17"/>
  <c r="AE257" i="17" s="1"/>
  <c r="AD223" i="17"/>
  <c r="AE223" i="17" s="1"/>
  <c r="X625" i="17"/>
  <c r="AD216" i="17"/>
  <c r="AE216" i="17" s="1"/>
  <c r="AD123" i="17"/>
  <c r="AE123" i="17" s="1"/>
  <c r="AD226" i="17"/>
  <c r="AE226" i="17" s="1"/>
  <c r="AD511" i="17"/>
  <c r="AE511" i="17" s="1"/>
  <c r="AD422" i="17"/>
  <c r="AE422" i="17" s="1"/>
  <c r="AD114" i="17"/>
  <c r="AE114" i="17" s="1"/>
  <c r="AD315" i="17"/>
  <c r="AE315" i="17" s="1"/>
  <c r="AD259" i="17"/>
  <c r="AE259" i="17" s="1"/>
  <c r="AD499" i="17"/>
  <c r="AE499" i="17" s="1"/>
  <c r="AD256" i="17"/>
  <c r="AE256" i="17" s="1"/>
  <c r="AD437" i="17"/>
  <c r="AE437" i="17" s="1"/>
  <c r="AD353" i="17"/>
  <c r="AE353" i="17" s="1"/>
  <c r="AD454" i="17"/>
  <c r="AE454" i="17" s="1"/>
  <c r="AD55" i="17"/>
  <c r="AE55" i="17" s="1"/>
  <c r="AD405" i="17"/>
  <c r="AE405" i="17" s="1"/>
  <c r="AD269" i="17"/>
  <c r="AE269" i="17" s="1"/>
  <c r="AD68" i="17"/>
  <c r="AE68" i="17" s="1"/>
  <c r="AD105" i="17"/>
  <c r="AE105" i="17" s="1"/>
  <c r="AD32" i="17"/>
  <c r="AE32" i="17" s="1"/>
  <c r="AD449" i="17"/>
  <c r="AE449" i="17" s="1"/>
  <c r="AD385" i="17"/>
  <c r="AE385" i="17" s="1"/>
  <c r="AD147" i="17"/>
  <c r="AE147" i="17" s="1"/>
  <c r="AD488" i="17"/>
  <c r="AE488" i="17" s="1"/>
  <c r="AD341" i="17"/>
  <c r="AE341" i="17" s="1"/>
  <c r="AD540" i="17"/>
  <c r="AE540" i="17" s="1"/>
  <c r="AD263" i="17"/>
  <c r="AE263" i="17" s="1"/>
  <c r="AD507" i="17"/>
  <c r="AE507" i="17" s="1"/>
  <c r="AD97" i="17"/>
  <c r="AE97" i="17" s="1"/>
  <c r="AD64" i="17"/>
  <c r="AE64" i="17" s="1"/>
  <c r="AD527" i="17"/>
  <c r="AE527" i="17" s="1"/>
  <c r="AD555" i="17"/>
  <c r="AE555" i="17" s="1"/>
  <c r="AD445" i="17"/>
  <c r="AE445" i="17" s="1"/>
  <c r="AD400" i="17"/>
  <c r="AE400" i="17" s="1"/>
  <c r="AD514" i="17"/>
  <c r="AE514" i="17" s="1"/>
  <c r="AD333" i="17"/>
  <c r="AE333" i="17" s="1"/>
  <c r="AD342" i="17"/>
  <c r="AE342" i="17" s="1"/>
  <c r="AD525" i="17"/>
  <c r="AE525" i="17" s="1"/>
  <c r="AD234" i="17"/>
  <c r="AE234" i="17" s="1"/>
  <c r="AD253" i="17"/>
  <c r="AE253" i="17" s="1"/>
  <c r="AD143" i="17"/>
  <c r="AE143" i="17" s="1"/>
  <c r="AD490" i="17"/>
  <c r="AE490" i="17" s="1"/>
  <c r="AD369" i="17"/>
  <c r="AE369" i="17" s="1"/>
  <c r="AD419" i="17"/>
  <c r="AE419" i="17" s="1"/>
  <c r="AD307" i="17"/>
  <c r="AE307" i="17" s="1"/>
  <c r="AD81" i="17"/>
  <c r="AE81" i="17" s="1"/>
  <c r="AD471" i="17"/>
  <c r="AE471" i="17" s="1"/>
  <c r="AD537" i="17"/>
  <c r="AE537" i="17" s="1"/>
  <c r="AD241" i="17"/>
  <c r="AE241" i="17" s="1"/>
  <c r="AD551" i="17"/>
  <c r="AE551" i="17" s="1"/>
  <c r="AD383" i="17"/>
  <c r="AE383" i="17" s="1"/>
  <c r="AD331" i="17"/>
  <c r="AE331" i="17" s="1"/>
  <c r="AD274" i="17"/>
  <c r="AE274" i="17" s="1"/>
  <c r="AD47" i="17"/>
  <c r="AE47" i="17" s="1"/>
  <c r="AD567" i="17"/>
  <c r="AE567" i="17" s="1"/>
  <c r="AD413" i="17"/>
  <c r="AE413" i="17" s="1"/>
  <c r="AD322" i="17"/>
  <c r="AE322" i="17" s="1"/>
  <c r="AD151" i="17"/>
  <c r="AE151" i="17" s="1"/>
  <c r="AD539" i="17"/>
  <c r="AE539" i="17" s="1"/>
  <c r="AD170" i="17"/>
  <c r="AE170" i="17" s="1"/>
  <c r="AD27" i="17"/>
  <c r="AE27" i="17" s="1"/>
  <c r="AD231" i="17"/>
  <c r="AE231" i="17" s="1"/>
  <c r="AD16" i="17"/>
  <c r="AE16" i="17" s="1"/>
  <c r="AD175" i="17"/>
  <c r="AE175" i="17" s="1"/>
  <c r="AD466" i="17"/>
  <c r="AE466" i="17" s="1"/>
  <c r="AD60" i="17"/>
  <c r="AE60" i="17" s="1"/>
  <c r="AD28" i="17"/>
  <c r="AE28" i="17" s="1"/>
  <c r="AD304" i="17"/>
  <c r="AE304" i="17" s="1"/>
  <c r="AD195" i="17"/>
  <c r="AE195" i="17" s="1"/>
  <c r="R624" i="17"/>
  <c r="S624" i="17" s="1"/>
  <c r="AA624" i="17"/>
  <c r="E634" i="17" s="1"/>
  <c r="R625" i="17"/>
  <c r="S625" i="17" s="1"/>
  <c r="AA625" i="17"/>
  <c r="E635" i="17" s="1"/>
  <c r="AD372" i="17"/>
  <c r="AE372" i="17" s="1"/>
  <c r="AD280" i="17"/>
  <c r="AE280" i="17" s="1"/>
  <c r="AD590" i="17"/>
  <c r="AE590" i="17" s="1"/>
  <c r="AD71" i="17"/>
  <c r="AE71" i="17" s="1"/>
  <c r="AD493" i="17"/>
  <c r="AE493" i="17" s="1"/>
  <c r="AD319" i="17"/>
  <c r="AE319" i="17" s="1"/>
  <c r="AD73" i="17"/>
  <c r="AE73" i="17" s="1"/>
  <c r="AD111" i="17"/>
  <c r="AE111" i="17" s="1"/>
  <c r="AD131" i="17"/>
  <c r="AE131" i="17" s="1"/>
  <c r="AD427" i="17"/>
  <c r="AE427" i="17" s="1"/>
  <c r="AD298" i="17"/>
  <c r="AE298" i="17" s="1"/>
  <c r="Q627" i="17"/>
  <c r="AB624" i="17"/>
  <c r="Q624" i="17"/>
  <c r="D634" i="17" s="1"/>
  <c r="Q625" i="17"/>
  <c r="D635" i="17" s="1"/>
  <c r="AD394" i="17"/>
  <c r="AE394" i="17" s="1"/>
  <c r="AD72" i="17"/>
  <c r="AE72" i="17" s="1"/>
  <c r="AD378" i="17"/>
  <c r="AE378" i="17" s="1"/>
  <c r="AD246" i="17"/>
  <c r="AE246" i="17" s="1"/>
  <c r="AD80" i="17"/>
  <c r="AE80" i="17" s="1"/>
  <c r="AD305" i="17"/>
  <c r="AE305" i="17" s="1"/>
  <c r="AD348" i="17"/>
  <c r="AE348" i="17" s="1"/>
  <c r="AD411" i="17"/>
  <c r="AE411" i="17" s="1"/>
  <c r="AD276" i="17"/>
  <c r="AE276" i="17" s="1"/>
  <c r="AD472" i="17"/>
  <c r="AE472" i="17" s="1"/>
  <c r="AD63" i="17"/>
  <c r="AE63" i="17" s="1"/>
  <c r="AD477" i="17"/>
  <c r="AE477" i="17" s="1"/>
  <c r="AD475" i="17"/>
  <c r="AE475" i="17" s="1"/>
  <c r="AD347" i="17"/>
  <c r="AE347" i="17" s="1"/>
  <c r="AD447" i="17"/>
  <c r="AE447" i="17" s="1"/>
  <c r="AD513" i="17"/>
  <c r="AE513" i="17" s="1"/>
  <c r="AD586" i="17"/>
  <c r="AE586" i="17" s="1"/>
  <c r="AD476" i="17"/>
  <c r="AE476" i="17" s="1"/>
  <c r="AD371" i="17"/>
  <c r="AE371" i="17" s="1"/>
  <c r="AD431" i="17"/>
  <c r="AE431" i="17" s="1"/>
  <c r="AD140" i="17"/>
  <c r="AE140" i="17" s="1"/>
  <c r="AD349" i="17"/>
  <c r="AE349" i="17" s="1"/>
  <c r="AD316" i="17"/>
  <c r="AE316" i="17" s="1"/>
  <c r="AD232" i="17"/>
  <c r="AE232" i="17" s="1"/>
  <c r="AD296" i="17"/>
  <c r="AE296" i="17" s="1"/>
  <c r="AD535" i="17"/>
  <c r="AE535" i="17" s="1"/>
  <c r="AD139" i="17"/>
  <c r="AE139" i="17" s="1"/>
  <c r="AD439" i="17"/>
  <c r="AE439" i="17" s="1"/>
  <c r="AD503" i="17"/>
  <c r="AE503" i="17" s="1"/>
  <c r="AD303" i="17"/>
  <c r="AE303" i="17" s="1"/>
  <c r="AD290" i="17"/>
  <c r="AE290" i="17" s="1"/>
  <c r="AD301" i="17"/>
  <c r="AE301" i="17" s="1"/>
  <c r="AD239" i="17"/>
  <c r="AE239" i="17" s="1"/>
  <c r="AD375" i="17"/>
  <c r="AE375" i="17" s="1"/>
  <c r="AD407" i="17"/>
  <c r="AE407" i="17" s="1"/>
  <c r="AD587" i="17"/>
  <c r="AE587" i="17" s="1"/>
  <c r="AD158" i="17"/>
  <c r="AE158" i="17" s="1"/>
  <c r="AD57" i="17"/>
  <c r="AE57" i="17" s="1"/>
  <c r="AD67" i="17"/>
  <c r="AE67" i="17" s="1"/>
  <c r="AD344" i="17"/>
  <c r="AE344" i="17" s="1"/>
  <c r="AD258" i="17"/>
  <c r="AE258" i="17" s="1"/>
  <c r="AD251" i="17"/>
  <c r="AE251" i="17" s="1"/>
  <c r="AD504" i="17"/>
  <c r="AE504" i="17" s="1"/>
  <c r="AD566" i="17"/>
  <c r="AE566" i="17" s="1"/>
  <c r="AD399" i="17"/>
  <c r="AE399" i="17" s="1"/>
  <c r="AD112" i="17"/>
  <c r="AE112" i="17" s="1"/>
  <c r="AD203" i="17"/>
  <c r="AE203" i="17" s="1"/>
  <c r="AD465" i="17"/>
  <c r="AE465" i="17" s="1"/>
  <c r="AD286" i="17"/>
  <c r="AE286" i="17" s="1"/>
  <c r="AD208" i="17"/>
  <c r="AE208" i="17" s="1"/>
  <c r="AD512" i="17"/>
  <c r="AE512" i="17" s="1"/>
  <c r="AD412" i="17"/>
  <c r="AE412" i="17" s="1"/>
  <c r="AD121" i="17"/>
  <c r="AE121" i="17" s="1"/>
  <c r="AD571" i="17"/>
  <c r="AE571" i="17" s="1"/>
  <c r="AD600" i="17"/>
  <c r="AE600" i="17" s="1"/>
  <c r="AD15" i="17"/>
  <c r="AE15" i="17" s="1"/>
  <c r="AD168" i="17"/>
  <c r="AE168" i="17" s="1"/>
  <c r="AD393" i="17"/>
  <c r="AE393" i="17" s="1"/>
  <c r="AD554" i="17"/>
  <c r="AE554" i="17" s="1"/>
  <c r="AD458" i="17"/>
  <c r="AE458" i="17" s="1"/>
  <c r="AD314" i="17"/>
  <c r="AE314" i="17" s="1"/>
  <c r="AD36" i="17"/>
  <c r="AE36" i="17" s="1"/>
  <c r="AD346" i="17"/>
  <c r="AE346" i="17" s="1"/>
  <c r="AD592" i="17"/>
  <c r="AE592" i="17" s="1"/>
  <c r="AD376" i="17"/>
  <c r="AE376" i="17" s="1"/>
  <c r="AD377" i="17"/>
  <c r="AE377" i="17" s="1"/>
  <c r="AD240" i="17"/>
  <c r="AE240" i="17" s="1"/>
  <c r="AD330" i="17"/>
  <c r="AE330" i="17" s="1"/>
  <c r="AD354" i="17"/>
  <c r="AE354" i="17" s="1"/>
  <c r="AD209" i="17"/>
  <c r="AE209" i="17" s="1"/>
  <c r="AD379" i="17"/>
  <c r="AE379" i="17" s="1"/>
  <c r="AD167" i="17"/>
  <c r="AE167" i="17" s="1"/>
  <c r="AD495" i="17"/>
  <c r="AE495" i="17" s="1"/>
  <c r="AD275" i="17"/>
  <c r="AE275" i="17" s="1"/>
  <c r="AD508" i="17"/>
  <c r="AE508" i="17" s="1"/>
  <c r="AD560" i="17"/>
  <c r="AE560" i="17" s="1"/>
  <c r="AD497" i="17"/>
  <c r="AE497" i="17" s="1"/>
  <c r="AD599" i="17"/>
  <c r="AE599" i="17" s="1"/>
  <c r="AD277" i="17"/>
  <c r="AE277" i="17" s="1"/>
  <c r="AD443" i="17"/>
  <c r="AE443" i="17" s="1"/>
  <c r="AD127" i="17"/>
  <c r="AE127" i="17" s="1"/>
  <c r="AD355" i="17"/>
  <c r="AE355" i="17" s="1"/>
  <c r="AD583" i="17"/>
  <c r="AE583" i="17" s="1"/>
  <c r="AD594" i="17"/>
  <c r="AE594" i="17" s="1"/>
  <c r="AD595" i="17"/>
  <c r="AE595" i="17" s="1"/>
  <c r="AD547" i="17"/>
  <c r="AE547" i="17" s="1"/>
  <c r="AD563" i="17"/>
  <c r="AE563" i="17" s="1"/>
  <c r="AD320" i="17"/>
  <c r="AE320" i="17" s="1"/>
  <c r="AD591" i="17"/>
  <c r="AE591" i="17" s="1"/>
  <c r="AD559" i="17"/>
  <c r="AE559" i="17" s="1"/>
  <c r="AD183" i="17"/>
  <c r="AE183" i="17" s="1"/>
  <c r="AD593" i="17"/>
  <c r="AE593" i="17" s="1"/>
  <c r="AD205" i="17"/>
  <c r="AE205" i="17" s="1"/>
  <c r="AD89" i="17"/>
  <c r="AE89" i="17" s="1"/>
  <c r="AD154" i="17"/>
  <c r="AE154" i="17" s="1"/>
  <c r="AD338" i="17"/>
  <c r="AE338" i="17" s="1"/>
  <c r="AD402" i="17"/>
  <c r="AE402" i="17" s="1"/>
  <c r="AD577" i="17"/>
  <c r="AE577" i="17" s="1"/>
  <c r="AD284" i="17"/>
  <c r="AE284" i="17" s="1"/>
  <c r="AD602" i="17"/>
  <c r="AE602" i="17" s="1"/>
  <c r="AD428" i="17"/>
  <c r="AE428" i="17" s="1"/>
  <c r="AD396" i="17"/>
  <c r="AE396" i="17" s="1"/>
  <c r="AD35" i="17"/>
  <c r="AE35" i="17" s="1"/>
  <c r="AD573" i="17"/>
  <c r="AE573" i="17" s="1"/>
  <c r="AD182" i="17"/>
  <c r="AE182" i="17" s="1"/>
  <c r="AD532" i="17"/>
  <c r="AE532" i="17" s="1"/>
  <c r="AD557" i="17"/>
  <c r="AE557" i="17" s="1"/>
  <c r="AD550" i="17"/>
  <c r="AE550" i="17" s="1"/>
  <c r="AD217" i="17"/>
  <c r="AE217" i="17" s="1"/>
  <c r="AD321" i="17"/>
  <c r="AE321" i="17" s="1"/>
  <c r="AD481" i="17"/>
  <c r="AE481" i="17" s="1"/>
  <c r="AD332" i="17"/>
  <c r="AE332" i="17" s="1"/>
  <c r="AD496" i="17"/>
  <c r="AE496" i="17" s="1"/>
  <c r="AD339" i="17"/>
  <c r="AE339" i="17" s="1"/>
  <c r="AD300" i="17"/>
  <c r="AE300" i="17" s="1"/>
  <c r="AD77" i="17"/>
  <c r="AE77" i="17" s="1"/>
  <c r="AD45" i="17"/>
  <c r="AE45" i="17" s="1"/>
  <c r="AD13" i="17"/>
  <c r="AE13" i="17" s="1"/>
  <c r="AD102" i="17"/>
  <c r="AE102" i="17" s="1"/>
  <c r="AD91" i="17"/>
  <c r="AE91" i="17" s="1"/>
  <c r="AD178" i="17"/>
  <c r="AE178" i="17" s="1"/>
  <c r="AD442" i="17"/>
  <c r="AE442" i="17" s="1"/>
  <c r="AD552" i="17"/>
  <c r="AE552" i="17" s="1"/>
  <c r="AD173" i="17"/>
  <c r="AE173" i="17" s="1"/>
  <c r="AD574" i="17"/>
  <c r="AE574" i="17" s="1"/>
  <c r="AD520" i="17"/>
  <c r="AE520" i="17" s="1"/>
  <c r="AD242" i="17"/>
  <c r="AE242" i="17" s="1"/>
  <c r="AD31" i="17"/>
  <c r="AE31" i="17" s="1"/>
  <c r="AD367" i="17"/>
  <c r="AE367" i="17" s="1"/>
  <c r="AD43" i="17"/>
  <c r="AE43" i="17" s="1"/>
  <c r="AD51" i="17"/>
  <c r="AE51" i="17" s="1"/>
  <c r="AD523" i="17"/>
  <c r="AE523" i="17" s="1"/>
  <c r="AD79" i="17"/>
  <c r="AE79" i="17" s="1"/>
  <c r="AD313" i="17"/>
  <c r="AE313" i="17" s="1"/>
  <c r="AD220" i="17"/>
  <c r="AE220" i="17" s="1"/>
  <c r="AD150" i="17"/>
  <c r="AE150" i="17" s="1"/>
  <c r="AD408" i="17"/>
  <c r="AE408" i="17" s="1"/>
  <c r="AD41" i="17"/>
  <c r="AE41" i="17" s="1"/>
  <c r="AD384" i="17"/>
  <c r="AE384" i="17" s="1"/>
  <c r="AD92" i="17"/>
  <c r="AE92" i="17" s="1"/>
  <c r="AD106" i="17"/>
  <c r="AE106" i="17" s="1"/>
  <c r="AD98" i="17"/>
  <c r="AE98" i="17" s="1"/>
  <c r="AD66" i="17"/>
  <c r="AE66" i="17" s="1"/>
  <c r="AD194" i="17"/>
  <c r="AE194" i="17" s="1"/>
  <c r="AD366" i="17"/>
  <c r="AE366" i="17" s="1"/>
  <c r="AD450" i="17"/>
  <c r="AE450" i="17" s="1"/>
  <c r="AD526" i="17"/>
  <c r="AE526" i="17" s="1"/>
  <c r="AD589" i="17"/>
  <c r="AE589" i="17" s="1"/>
  <c r="AD565" i="17"/>
  <c r="AE565" i="17" s="1"/>
  <c r="AD581" i="17"/>
  <c r="AE581" i="17" s="1"/>
  <c r="AD169" i="17"/>
  <c r="AE169" i="17" s="1"/>
  <c r="AD273" i="17"/>
  <c r="AE273" i="17" s="1"/>
  <c r="AD548" i="17"/>
  <c r="AE548" i="17" s="1"/>
  <c r="AD588" i="17"/>
  <c r="AE588" i="17" s="1"/>
  <c r="AD306" i="17"/>
  <c r="AE306" i="17" s="1"/>
  <c r="AD157" i="17"/>
  <c r="AE157" i="17" s="1"/>
  <c r="AD189" i="17"/>
  <c r="AE189" i="17" s="1"/>
  <c r="AD221" i="17"/>
  <c r="AE221" i="17" s="1"/>
  <c r="AD99" i="17"/>
  <c r="AE99" i="17" s="1"/>
  <c r="AD444" i="17"/>
  <c r="AE444" i="17" s="1"/>
  <c r="AD128" i="17"/>
  <c r="AE128" i="17" s="1"/>
  <c r="AD144" i="17"/>
  <c r="AE144" i="17" s="1"/>
  <c r="AD464" i="17"/>
  <c r="AE464" i="17" s="1"/>
  <c r="AD395" i="17"/>
  <c r="AE395" i="17" s="1"/>
  <c r="AD491" i="17"/>
  <c r="AE491" i="17" s="1"/>
  <c r="AD191" i="17"/>
  <c r="AE191" i="17" s="1"/>
  <c r="AD247" i="17"/>
  <c r="AE247" i="17" s="1"/>
  <c r="AD361" i="17"/>
  <c r="AE361" i="17" s="1"/>
  <c r="AD417" i="17"/>
  <c r="AE417" i="17" s="1"/>
  <c r="AD343" i="17"/>
  <c r="AE343" i="17" s="1"/>
  <c r="AD415" i="17"/>
  <c r="AE415" i="17" s="1"/>
  <c r="AD479" i="17"/>
  <c r="AE479" i="17" s="1"/>
  <c r="AD248" i="17"/>
  <c r="AE248" i="17" s="1"/>
  <c r="AD264" i="17"/>
  <c r="AE264" i="17" s="1"/>
  <c r="AD278" i="17"/>
  <c r="AE278" i="17" s="1"/>
  <c r="AD198" i="17"/>
  <c r="AE198" i="17" s="1"/>
  <c r="AD219" i="17"/>
  <c r="AE219" i="17" s="1"/>
  <c r="AD531" i="17"/>
  <c r="AE531" i="17" s="1"/>
  <c r="AD459" i="17"/>
  <c r="AE459" i="17" s="1"/>
  <c r="AD460" i="17"/>
  <c r="AE460" i="17" s="1"/>
  <c r="AD272" i="17"/>
  <c r="AE272" i="17" s="1"/>
  <c r="AD236" i="17"/>
  <c r="AE236" i="17" s="1"/>
  <c r="AD463" i="17"/>
  <c r="AE463" i="17" s="1"/>
  <c r="AD605" i="17"/>
  <c r="AE605" i="17" s="1"/>
  <c r="AD104" i="17"/>
  <c r="AE104" i="17" s="1"/>
  <c r="AD118" i="17"/>
  <c r="AE118" i="17" s="1"/>
  <c r="AD435" i="17"/>
  <c r="AE435" i="17" s="1"/>
  <c r="AD309" i="17"/>
  <c r="AE309" i="17" s="1"/>
  <c r="AD312" i="17"/>
  <c r="AE312" i="17" s="1"/>
  <c r="AD166" i="17"/>
  <c r="AE166" i="17" s="1"/>
  <c r="AD432" i="17"/>
  <c r="AE432" i="17" s="1"/>
  <c r="AD40" i="17"/>
  <c r="AE40" i="17" s="1"/>
  <c r="AD126" i="17"/>
  <c r="AE126" i="17" s="1"/>
  <c r="AD190" i="17"/>
  <c r="AE190" i="17" s="1"/>
  <c r="AD108" i="17"/>
  <c r="AE108" i="17" s="1"/>
  <c r="AD76" i="17"/>
  <c r="AE76" i="17" s="1"/>
  <c r="AD162" i="17"/>
  <c r="AE162" i="17" s="1"/>
  <c r="AD250" i="17"/>
  <c r="AE250" i="17" s="1"/>
  <c r="AD334" i="17"/>
  <c r="AE334" i="17" s="1"/>
  <c r="AD418" i="17"/>
  <c r="AE418" i="17" s="1"/>
  <c r="AD536" i="17"/>
  <c r="AE536" i="17" s="1"/>
  <c r="AD222" i="17"/>
  <c r="AE222" i="17" s="1"/>
  <c r="AD254" i="17"/>
  <c r="AE254" i="17" s="1"/>
  <c r="AD530" i="17"/>
  <c r="AE530" i="17" s="1"/>
  <c r="AD230" i="17"/>
  <c r="AE230" i="17" s="1"/>
  <c r="AD262" i="17"/>
  <c r="AE262" i="17" s="1"/>
  <c r="AD302" i="17"/>
  <c r="AE302" i="17" s="1"/>
  <c r="AD249" i="17"/>
  <c r="AE249" i="17" s="1"/>
  <c r="AD281" i="17"/>
  <c r="AE281" i="17" s="1"/>
  <c r="AD433" i="17"/>
  <c r="AE433" i="17" s="1"/>
  <c r="AD245" i="17"/>
  <c r="AE245" i="17" s="1"/>
  <c r="AD285" i="17"/>
  <c r="AE285" i="17" s="1"/>
  <c r="AD576" i="17"/>
  <c r="AE576" i="17" s="1"/>
  <c r="AD184" i="17"/>
  <c r="AE184" i="17" s="1"/>
  <c r="AD492" i="17"/>
  <c r="AE492" i="17" s="1"/>
  <c r="AD192" i="17"/>
  <c r="AE192" i="17" s="1"/>
  <c r="AD364" i="17"/>
  <c r="AE364" i="17" s="1"/>
  <c r="AD380" i="17"/>
  <c r="AE380" i="17" s="1"/>
  <c r="AD416" i="17"/>
  <c r="AE416" i="17" s="1"/>
  <c r="AD448" i="17"/>
  <c r="AE448" i="17" s="1"/>
  <c r="AD311" i="17"/>
  <c r="AE311" i="17" s="1"/>
  <c r="AD575" i="17"/>
  <c r="AE575" i="17" s="1"/>
  <c r="AD224" i="17"/>
  <c r="AE224" i="17" s="1"/>
  <c r="AD171" i="17"/>
  <c r="AE171" i="17" s="1"/>
  <c r="AD336" i="17"/>
  <c r="AE336" i="17" s="1"/>
  <c r="AD606" i="17"/>
  <c r="AE606" i="17" s="1"/>
  <c r="AD271" i="17"/>
  <c r="AE271" i="17" s="1"/>
  <c r="AD461" i="17"/>
  <c r="AE461" i="17" s="1"/>
  <c r="AD601" i="17"/>
  <c r="AE601" i="17" s="1"/>
  <c r="AD363" i="17"/>
  <c r="AE363" i="17" s="1"/>
  <c r="AD351" i="17"/>
  <c r="AE351" i="17" s="1"/>
  <c r="AD480" i="17"/>
  <c r="AE480" i="17" s="1"/>
  <c r="AD100" i="17"/>
  <c r="AE100" i="17" s="1"/>
  <c r="AD335" i="17"/>
  <c r="AE335" i="17" s="1"/>
  <c r="AD294" i="17"/>
  <c r="AE294" i="17" s="1"/>
  <c r="AD267" i="17"/>
  <c r="AE267" i="17" s="1"/>
  <c r="AD365" i="17"/>
  <c r="AE365" i="17" s="1"/>
  <c r="AD543" i="17"/>
  <c r="AE543" i="17" s="1"/>
  <c r="AD52" i="17"/>
  <c r="AE52" i="17" s="1"/>
  <c r="AD14" i="17"/>
  <c r="AE14" i="17" s="1"/>
  <c r="AD436" i="17"/>
  <c r="AE436" i="17" s="1"/>
  <c r="AD500" i="17"/>
  <c r="AE500" i="17" s="1"/>
  <c r="AD310" i="17"/>
  <c r="AE310" i="17" s="1"/>
  <c r="AD564" i="17"/>
  <c r="AE564" i="17" s="1"/>
  <c r="AD604" i="17"/>
  <c r="AE604" i="17" s="1"/>
  <c r="AD107" i="17"/>
  <c r="AE107" i="17" s="1"/>
  <c r="AD34" i="17"/>
  <c r="AE34" i="17" s="1"/>
  <c r="AD96" i="17"/>
  <c r="AE96" i="17" s="1"/>
  <c r="AD110" i="17"/>
  <c r="AE110" i="17" s="1"/>
  <c r="AD84" i="17"/>
  <c r="AE84" i="17" s="1"/>
  <c r="AD44" i="17"/>
  <c r="AE44" i="17" s="1"/>
  <c r="AD146" i="17"/>
  <c r="AE146" i="17" s="1"/>
  <c r="AD122" i="17"/>
  <c r="AE122" i="17" s="1"/>
  <c r="AD138" i="17"/>
  <c r="AE138" i="17" s="1"/>
  <c r="AD370" i="17"/>
  <c r="AE370" i="17" s="1"/>
  <c r="AD386" i="17"/>
  <c r="AE386" i="17" s="1"/>
  <c r="AD519" i="17"/>
  <c r="AE519" i="17" s="1"/>
  <c r="AD524" i="17"/>
  <c r="AE524" i="17" s="1"/>
  <c r="AD426" i="17"/>
  <c r="AE426" i="17" s="1"/>
  <c r="AD434" i="17"/>
  <c r="AE434" i="17" s="1"/>
  <c r="AD561" i="17"/>
  <c r="AE561" i="17" s="1"/>
  <c r="AD518" i="17"/>
  <c r="AE518" i="17" s="1"/>
  <c r="AD522" i="17"/>
  <c r="AE522" i="17" s="1"/>
  <c r="AD538" i="17"/>
  <c r="AE538" i="17" s="1"/>
  <c r="AD214" i="17"/>
  <c r="AE214" i="17" s="1"/>
  <c r="AD113" i="17"/>
  <c r="AE113" i="17" s="1"/>
  <c r="AD153" i="17"/>
  <c r="AE153" i="17" s="1"/>
  <c r="AD225" i="17"/>
  <c r="AE225" i="17" s="1"/>
  <c r="AD289" i="17"/>
  <c r="AE289" i="17" s="1"/>
  <c r="AD572" i="17"/>
  <c r="AE572" i="17" s="1"/>
  <c r="AD505" i="17"/>
  <c r="AE505" i="17" s="1"/>
  <c r="AD282" i="17"/>
  <c r="AE282" i="17" s="1"/>
  <c r="AD197" i="17"/>
  <c r="AE197" i="17" s="1"/>
  <c r="AD603" i="17"/>
  <c r="AE603" i="17" s="1"/>
  <c r="AD75" i="17"/>
  <c r="AE75" i="17" s="1"/>
  <c r="AD609" i="17"/>
  <c r="AE609" i="17" s="1"/>
  <c r="AD252" i="17"/>
  <c r="AE252" i="17" s="1"/>
  <c r="AD345" i="17"/>
  <c r="AE345" i="17" s="1"/>
  <c r="AD357" i="17"/>
  <c r="AE357" i="17" s="1"/>
  <c r="AD61" i="17"/>
  <c r="AE61" i="17" s="1"/>
  <c r="AD53" i="17"/>
  <c r="AE53" i="17" s="1"/>
  <c r="AD163" i="17"/>
  <c r="AE163" i="17" s="1"/>
  <c r="AD288" i="17"/>
  <c r="AE288" i="17" s="1"/>
  <c r="AD59" i="17"/>
  <c r="AE59" i="17" s="1"/>
  <c r="AD283" i="17"/>
  <c r="AE283" i="17" s="1"/>
  <c r="AD207" i="17"/>
  <c r="AE207" i="17" s="1"/>
  <c r="AD39" i="17"/>
  <c r="AE39" i="17" s="1"/>
  <c r="AD210" i="17"/>
  <c r="AE210" i="17" s="1"/>
  <c r="AD186" i="17"/>
  <c r="AE186" i="17" s="1"/>
  <c r="AD528" i="17"/>
  <c r="AE528" i="17" s="1"/>
  <c r="AD78" i="17"/>
  <c r="AE78" i="17" s="1"/>
  <c r="AD489" i="17"/>
  <c r="AE489" i="17" s="1"/>
  <c r="AD33" i="17"/>
  <c r="AE33" i="17" s="1"/>
  <c r="AD196" i="17"/>
  <c r="AE196" i="17" s="1"/>
  <c r="AD360" i="17"/>
  <c r="AE360" i="17" s="1"/>
  <c r="AD409" i="17"/>
  <c r="AE409" i="17" s="1"/>
  <c r="AD509" i="17"/>
  <c r="AE509" i="17" s="1"/>
  <c r="AD86" i="17"/>
  <c r="AE86" i="17" s="1"/>
  <c r="AD22" i="17"/>
  <c r="AE22" i="17" s="1"/>
  <c r="AD297" i="17"/>
  <c r="AE297" i="17" s="1"/>
  <c r="AD179" i="17"/>
  <c r="AE179" i="17" s="1"/>
  <c r="AD373" i="17"/>
  <c r="AE373" i="17" s="1"/>
  <c r="AD546" i="17"/>
  <c r="AE546" i="17" s="1"/>
  <c r="AD238" i="17"/>
  <c r="AE238" i="17" s="1"/>
  <c r="AD562" i="17"/>
  <c r="AE562" i="17" s="1"/>
  <c r="AD541" i="17"/>
  <c r="AE541" i="17" s="1"/>
  <c r="AD187" i="17"/>
  <c r="AE187" i="17" s="1"/>
  <c r="AD608" i="17"/>
  <c r="AE608" i="17" s="1"/>
  <c r="AD325" i="17"/>
  <c r="AE325" i="17" s="1"/>
  <c r="AD469" i="17"/>
  <c r="AE469" i="17" s="1"/>
  <c r="AD467" i="17"/>
  <c r="AE467" i="17" s="1"/>
  <c r="AD56" i="17"/>
  <c r="AE56" i="17" s="1"/>
  <c r="AD174" i="17"/>
  <c r="AE174" i="17" s="1"/>
  <c r="AD46" i="17"/>
  <c r="AE46" i="17" s="1"/>
  <c r="AD410" i="17"/>
  <c r="AE410" i="17" s="1"/>
  <c r="AD438" i="17"/>
  <c r="AE438" i="17" s="1"/>
  <c r="AD446" i="17"/>
  <c r="AE446" i="17" s="1"/>
  <c r="AD478" i="17"/>
  <c r="AE478" i="17" s="1"/>
  <c r="AD486" i="17"/>
  <c r="AE486" i="17" s="1"/>
  <c r="AD510" i="17"/>
  <c r="AE510" i="17" s="1"/>
  <c r="AD553" i="17"/>
  <c r="AE553" i="17" s="1"/>
  <c r="AD585" i="17"/>
  <c r="AE585" i="17" s="1"/>
  <c r="AD120" i="17"/>
  <c r="AE120" i="17" s="1"/>
  <c r="AD358" i="17"/>
  <c r="AE358" i="17" s="1"/>
  <c r="AD406" i="17"/>
  <c r="AE406" i="17" s="1"/>
  <c r="AD506" i="17"/>
  <c r="AE506" i="17" s="1"/>
  <c r="AD542" i="17"/>
  <c r="AE542" i="17" s="1"/>
  <c r="AD266" i="17"/>
  <c r="AE266" i="17" s="1"/>
  <c r="AD233" i="17"/>
  <c r="AE233" i="17" s="1"/>
  <c r="AD457" i="17"/>
  <c r="AE457" i="17" s="1"/>
  <c r="AD165" i="17"/>
  <c r="AE165" i="17" s="1"/>
  <c r="AD261" i="17"/>
  <c r="AE261" i="17" s="1"/>
  <c r="AD172" i="17"/>
  <c r="AE172" i="17" s="1"/>
  <c r="AD188" i="17"/>
  <c r="AE188" i="17" s="1"/>
  <c r="AD204" i="17"/>
  <c r="AE204" i="17" s="1"/>
  <c r="AD308" i="17"/>
  <c r="AE308" i="17" s="1"/>
  <c r="AD87" i="17"/>
  <c r="AE87" i="17" s="1"/>
  <c r="AD227" i="17"/>
  <c r="AE227" i="17" s="1"/>
  <c r="AD159" i="17"/>
  <c r="AE159" i="17" s="1"/>
  <c r="AD243" i="17"/>
  <c r="AE243" i="17" s="1"/>
  <c r="AD65" i="17"/>
  <c r="AE65" i="17" s="1"/>
  <c r="AD521" i="17"/>
  <c r="AE521" i="17" s="1"/>
  <c r="AD135" i="17"/>
  <c r="AE135" i="17" s="1"/>
  <c r="AD25" i="17"/>
  <c r="AE25" i="17" s="1"/>
  <c r="AD83" i="17"/>
  <c r="AE83" i="17" s="1"/>
  <c r="AD136" i="17"/>
  <c r="AE136" i="17" s="1"/>
  <c r="AD48" i="17"/>
  <c r="AE48" i="17" s="1"/>
  <c r="AD20" i="17"/>
  <c r="AE20" i="17" s="1"/>
  <c r="AD134" i="17"/>
  <c r="AE134" i="17" s="1"/>
  <c r="AD569" i="17"/>
  <c r="AE569" i="17" s="1"/>
  <c r="AD570" i="17"/>
  <c r="AE570" i="17" s="1"/>
  <c r="AD326" i="17"/>
  <c r="AE326" i="17" s="1"/>
  <c r="AD350" i="17"/>
  <c r="AE350" i="17" s="1"/>
  <c r="AD374" i="17"/>
  <c r="AE374" i="17" s="1"/>
  <c r="AD545" i="17"/>
  <c r="AE545" i="17" s="1"/>
  <c r="AD578" i="17"/>
  <c r="AE578" i="17" s="1"/>
  <c r="AD534" i="17"/>
  <c r="AE534" i="17" s="1"/>
  <c r="AD558" i="17"/>
  <c r="AE558" i="17" s="1"/>
  <c r="AD549" i="17"/>
  <c r="AE549" i="17" s="1"/>
  <c r="AD582" i="17"/>
  <c r="AE582" i="17" s="1"/>
  <c r="AD177" i="17"/>
  <c r="AE177" i="17" s="1"/>
  <c r="AD185" i="17"/>
  <c r="AE185" i="17" s="1"/>
  <c r="AD473" i="17"/>
  <c r="AE473" i="17" s="1"/>
  <c r="AD579" i="17"/>
  <c r="AE579" i="17" s="1"/>
  <c r="AD117" i="17"/>
  <c r="AE117" i="17" s="1"/>
  <c r="AD125" i="17"/>
  <c r="AE125" i="17" s="1"/>
  <c r="AD213" i="17"/>
  <c r="AE213" i="17" s="1"/>
  <c r="AD568" i="17"/>
  <c r="AE568" i="17" s="1"/>
  <c r="AD501" i="17"/>
  <c r="AE501" i="17" s="1"/>
  <c r="AD103" i="17"/>
  <c r="AE103" i="17" s="1"/>
  <c r="AD95" i="17"/>
  <c r="AE95" i="17" s="1"/>
  <c r="AD19" i="17"/>
  <c r="AE19" i="17" s="1"/>
  <c r="AD49" i="17"/>
  <c r="AE49" i="17" s="1"/>
  <c r="AD37" i="17"/>
  <c r="AE37" i="17" s="1"/>
  <c r="AD176" i="17"/>
  <c r="AE176" i="17" s="1"/>
  <c r="AD212" i="17"/>
  <c r="AE212" i="17" s="1"/>
  <c r="AD199" i="17"/>
  <c r="AE199" i="17" s="1"/>
  <c r="AD295" i="17"/>
  <c r="AE295" i="17" s="1"/>
  <c r="AD423" i="17"/>
  <c r="AE423" i="17" s="1"/>
  <c r="AD115" i="17"/>
  <c r="AE115" i="17" s="1"/>
  <c r="AD155" i="17"/>
  <c r="AE155" i="17" s="1"/>
  <c r="AD381" i="17"/>
  <c r="AE381" i="17" s="1"/>
  <c r="AD206" i="17"/>
  <c r="AE206" i="17" s="1"/>
  <c r="AD533" i="17"/>
  <c r="AE533" i="17" s="1"/>
  <c r="AD359" i="17"/>
  <c r="AE359" i="17" s="1"/>
  <c r="AD529" i="17"/>
  <c r="AE529" i="17" s="1"/>
  <c r="AD403" i="17"/>
  <c r="AE403" i="17" s="1"/>
  <c r="AD235" i="17"/>
  <c r="AE235" i="17" s="1"/>
  <c r="AD142" i="17"/>
  <c r="AE142" i="17" s="1"/>
  <c r="AD70" i="17"/>
  <c r="AE70" i="17" s="1"/>
  <c r="AD130" i="17"/>
  <c r="AE130" i="17" s="1"/>
  <c r="AD90" i="17"/>
  <c r="AE90" i="17" s="1"/>
  <c r="AD82" i="17"/>
  <c r="AE82" i="17" s="1"/>
  <c r="AD74" i="17"/>
  <c r="AE74" i="17" s="1"/>
  <c r="AD58" i="17"/>
  <c r="AE58" i="17" s="1"/>
  <c r="AD50" i="17"/>
  <c r="AE50" i="17" s="1"/>
  <c r="AD42" i="17"/>
  <c r="AE42" i="17" s="1"/>
  <c r="AD26" i="17"/>
  <c r="AE26" i="17" s="1"/>
  <c r="AD18" i="17"/>
  <c r="AE18" i="17" s="1"/>
  <c r="AD362" i="17"/>
  <c r="AE362" i="17" s="1"/>
  <c r="AD430" i="17"/>
  <c r="AE430" i="17" s="1"/>
  <c r="AD462" i="17"/>
  <c r="AE462" i="17" s="1"/>
  <c r="AD470" i="17"/>
  <c r="AE470" i="17" s="1"/>
  <c r="AD494" i="17"/>
  <c r="AE494" i="17" s="1"/>
  <c r="AD502" i="17"/>
  <c r="AE502" i="17" s="1"/>
  <c r="AD202" i="17"/>
  <c r="AE202" i="17" s="1"/>
  <c r="AD218" i="17"/>
  <c r="AE218" i="17" s="1"/>
  <c r="AD474" i="17"/>
  <c r="AE474" i="17" s="1"/>
  <c r="AD482" i="17"/>
  <c r="AE482" i="17" s="1"/>
  <c r="AD498" i="17"/>
  <c r="AE498" i="17" s="1"/>
  <c r="AD270" i="17"/>
  <c r="AE270" i="17" s="1"/>
  <c r="AD137" i="17"/>
  <c r="AE137" i="17" s="1"/>
  <c r="AD145" i="17"/>
  <c r="AE145" i="17" s="1"/>
  <c r="AD556" i="17"/>
  <c r="AE556" i="17" s="1"/>
  <c r="AD580" i="17"/>
  <c r="AE580" i="17" s="1"/>
  <c r="AD596" i="17"/>
  <c r="AE596" i="17" s="1"/>
  <c r="AD612" i="17"/>
  <c r="AE612" i="17" s="1"/>
  <c r="AD23" i="17"/>
  <c r="AE23" i="17" s="1"/>
  <c r="AD156" i="17"/>
  <c r="AE156" i="17" s="1"/>
  <c r="AD352" i="17"/>
  <c r="AE352" i="17" s="1"/>
  <c r="AD516" i="17"/>
  <c r="AE516" i="17" s="1"/>
  <c r="AD598" i="17"/>
  <c r="AE598" i="17" s="1"/>
  <c r="AD268" i="17"/>
  <c r="AE268" i="17" s="1"/>
  <c r="AD287" i="17"/>
  <c r="AE287" i="17" s="1"/>
  <c r="AD101" i="17"/>
  <c r="AE101" i="17" s="1"/>
  <c r="AD611" i="17"/>
  <c r="AE611" i="17" s="1"/>
  <c r="AD211" i="17"/>
  <c r="AE211" i="17" s="1"/>
  <c r="AD404" i="17"/>
  <c r="AE404" i="17" s="1"/>
  <c r="AD323" i="17"/>
  <c r="AE323" i="17" s="1"/>
  <c r="AD451" i="17"/>
  <c r="AE451" i="17" s="1"/>
  <c r="AD255" i="17"/>
  <c r="AE255" i="17" s="1"/>
  <c r="AD260" i="17"/>
  <c r="AE260" i="17" s="1"/>
  <c r="AD215" i="17"/>
  <c r="AE215" i="17" s="1"/>
  <c r="AD610" i="17"/>
  <c r="AE610" i="17" s="1"/>
  <c r="Y624" i="17"/>
  <c r="X624" i="17"/>
  <c r="Y625" i="17"/>
  <c r="AD132" i="17"/>
  <c r="AE132" i="17" s="1"/>
  <c r="AD164" i="17"/>
  <c r="AE164" i="17" s="1"/>
  <c r="AD180" i="17"/>
  <c r="AE180" i="17" s="1"/>
  <c r="AD424" i="17"/>
  <c r="AE424" i="17" s="1"/>
  <c r="AD244" i="17"/>
  <c r="AE244" i="17" s="1"/>
  <c r="AD391" i="17"/>
  <c r="AE391" i="17" s="1"/>
  <c r="AD200" i="17"/>
  <c r="AE200" i="17" s="1"/>
  <c r="AD291" i="17"/>
  <c r="AE291" i="17" s="1"/>
  <c r="AD388" i="17"/>
  <c r="AE388" i="17" s="1"/>
  <c r="AD24" i="17"/>
  <c r="AE24" i="17" s="1"/>
  <c r="AD88" i="17"/>
  <c r="AE88" i="17" s="1"/>
  <c r="AD94" i="17"/>
  <c r="AE94" i="17" s="1"/>
  <c r="AD62" i="17"/>
  <c r="AE62" i="17" s="1"/>
  <c r="AD54" i="17"/>
  <c r="AE54" i="17" s="1"/>
  <c r="AD38" i="17"/>
  <c r="AE38" i="17" s="1"/>
  <c r="AD30" i="17"/>
  <c r="AE30" i="17" s="1"/>
  <c r="AD318" i="17"/>
  <c r="AE318" i="17" s="1"/>
  <c r="AD382" i="17"/>
  <c r="AE382" i="17" s="1"/>
  <c r="AD398" i="17"/>
  <c r="AE398" i="17" s="1"/>
  <c r="AD133" i="17"/>
  <c r="AE133" i="17" s="1"/>
  <c r="AD544" i="17"/>
  <c r="AE544" i="17" s="1"/>
  <c r="AD453" i="17"/>
  <c r="AE453" i="17" s="1"/>
  <c r="AD93" i="17"/>
  <c r="AE93" i="17" s="1"/>
  <c r="AD29" i="17"/>
  <c r="AE29" i="17" s="1"/>
  <c r="AD124" i="17"/>
  <c r="AE124" i="17" s="1"/>
  <c r="AD148" i="17"/>
  <c r="AE148" i="17" s="1"/>
  <c r="AD160" i="17"/>
  <c r="AE160" i="17" s="1"/>
  <c r="AD440" i="17"/>
  <c r="AE440" i="17" s="1"/>
  <c r="AD483" i="17"/>
  <c r="AE483" i="17" s="1"/>
  <c r="AD228" i="17"/>
  <c r="AE228" i="17" s="1"/>
  <c r="AD279" i="17"/>
  <c r="AE279" i="17" s="1"/>
  <c r="AD337" i="17"/>
  <c r="AE337" i="17" s="1"/>
  <c r="AD401" i="17"/>
  <c r="AE401" i="17" s="1"/>
  <c r="AD327" i="17"/>
  <c r="AE327" i="17" s="1"/>
  <c r="AD455" i="17"/>
  <c r="AE455" i="17" s="1"/>
  <c r="AD597" i="17"/>
  <c r="AE597" i="17" s="1"/>
  <c r="AD317" i="17"/>
  <c r="AE317" i="17" s="1"/>
  <c r="AD389" i="17"/>
  <c r="AE389" i="17" s="1"/>
  <c r="AD397" i="17"/>
  <c r="AE397" i="17" s="1"/>
  <c r="AD161" i="17"/>
  <c r="AE161" i="17" s="1"/>
  <c r="AD193" i="17"/>
  <c r="AE193" i="17" s="1"/>
  <c r="AD201" i="17"/>
  <c r="AE201" i="17" s="1"/>
  <c r="AD265" i="17"/>
  <c r="AE265" i="17" s="1"/>
  <c r="AD517" i="17"/>
  <c r="AE517" i="17" s="1"/>
  <c r="AD425" i="17"/>
  <c r="AE425" i="17" s="1"/>
  <c r="AD441" i="17"/>
  <c r="AE441" i="17" s="1"/>
  <c r="AD607" i="17"/>
  <c r="AE607" i="17" s="1"/>
  <c r="AD149" i="17"/>
  <c r="AE149" i="17" s="1"/>
  <c r="AD181" i="17"/>
  <c r="AE181" i="17" s="1"/>
  <c r="AD229" i="17"/>
  <c r="AE229" i="17" s="1"/>
  <c r="AD293" i="17"/>
  <c r="AE293" i="17" s="1"/>
  <c r="AD152" i="17"/>
  <c r="AE152" i="17" s="1"/>
  <c r="AD328" i="17"/>
  <c r="AE328" i="17" s="1"/>
  <c r="AD392" i="17"/>
  <c r="AE392" i="17" s="1"/>
  <c r="AD356" i="17"/>
  <c r="AE356" i="17" s="1"/>
  <c r="AD420" i="17"/>
  <c r="AE420" i="17" s="1"/>
  <c r="AD484" i="17"/>
  <c r="AE484" i="17" s="1"/>
  <c r="AD69" i="17"/>
  <c r="AE69" i="17" s="1"/>
  <c r="AD324" i="17"/>
  <c r="AE324" i="17" s="1"/>
  <c r="AD340" i="17"/>
  <c r="AE340" i="17" s="1"/>
  <c r="AD456" i="17"/>
  <c r="AE456" i="17" s="1"/>
  <c r="AD387" i="17"/>
  <c r="AE387" i="17" s="1"/>
  <c r="AD515" i="17"/>
  <c r="AE515" i="17" s="1"/>
  <c r="AD119" i="17"/>
  <c r="AE119" i="17" s="1"/>
  <c r="AD414" i="17"/>
  <c r="AE414" i="17" s="1"/>
  <c r="AD452" i="17"/>
  <c r="AE452" i="17" s="1"/>
  <c r="AD141" i="17"/>
  <c r="AE141" i="17" s="1"/>
  <c r="AD421" i="17"/>
  <c r="AE421" i="17" s="1"/>
  <c r="AD485" i="17"/>
  <c r="AE485" i="17" s="1"/>
  <c r="AD368" i="17"/>
  <c r="AE368" i="17" s="1"/>
  <c r="AB625" i="17" l="1"/>
  <c r="AE7" i="17"/>
  <c r="Q4" i="17" s="1"/>
  <c r="AE9" i="17"/>
  <c r="Q5" i="17" s="1"/>
  <c r="B453" i="2" l="1"/>
  <c r="A453" i="2"/>
  <c r="A639" i="17"/>
  <c r="A640" i="17"/>
  <c r="D453" i="2"/>
  <c r="A617" i="17"/>
  <c r="F617" i="17" l="1"/>
  <c r="H617" i="17"/>
  <c r="G617" i="17"/>
  <c r="K617" i="17"/>
  <c r="I617" i="17"/>
  <c r="M617" i="17"/>
  <c r="C617" i="17"/>
  <c r="O617" i="17"/>
  <c r="J617" i="17"/>
  <c r="P617" i="17"/>
  <c r="A618" i="17"/>
  <c r="A619" i="17" s="1"/>
  <c r="L617" i="17"/>
  <c r="E617" i="17"/>
  <c r="N617" i="17"/>
  <c r="D617" i="17"/>
  <c r="R617" i="17" l="1"/>
  <c r="Q617" i="17"/>
  <c r="AB617" i="17"/>
  <c r="AA617" i="17"/>
  <c r="X617" i="17"/>
  <c r="Y617" i="17"/>
  <c r="R619" i="17" l="1"/>
  <c r="R620" i="17"/>
  <c r="S617" i="17"/>
  <c r="A454" i="2" s="1"/>
  <c r="B45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Hegarty</author>
    <author>BDATSC</author>
  </authors>
  <commentList>
    <comment ref="A3" authorId="0" shapeId="0" xr:uid="{00000000-0006-0000-0000-000001000000}">
      <text>
        <r>
          <rPr>
            <b/>
            <sz val="12"/>
            <color indexed="10"/>
            <rFont val="Tahoma"/>
            <family val="2"/>
          </rPr>
          <t>Welcome to the LM5176 Quickstart Design Tool</t>
        </r>
        <r>
          <rPr>
            <sz val="9"/>
            <color indexed="81"/>
            <rFont val="Tahoma"/>
            <family val="2"/>
          </rPr>
          <t xml:space="preserve">
This stand-alone tool facilitates and assists the power supply engineer with design of a DC/DC buck-boost converter based on the </t>
        </r>
        <r>
          <rPr>
            <b/>
            <sz val="9"/>
            <color indexed="81"/>
            <rFont val="Tahoma"/>
            <family val="2"/>
          </rPr>
          <t>LM5176 current-mode buck-boost controller</t>
        </r>
        <r>
          <rPr>
            <sz val="9"/>
            <color indexed="81"/>
            <rFont val="Tahoma"/>
            <family val="2"/>
          </rPr>
          <t xml:space="preserve">. As such, the user can expeditiously arrive at an optimized design by virtue of the following:
- Determine filter inductance and input and output filter capacitances
- Select components for soft-start, input UVLO and dither
- Optimize compensation values, slope compensation, and pole/zero placement in terms of control loop stability using crossover frequency as a performance metric
- Inspect converter efficiency and component power dissipations vs. line and load
- Analyze efficiency based on selected MOSFET parameters
- Review auto-generated schematic and BOM list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You must enable macros if Microsoft EXCEL asks as the file is being opened.
U.S. English notation is used throughout.
</t>
        </r>
        <r>
          <rPr>
            <u/>
            <sz val="9"/>
            <color indexed="12"/>
            <rFont val="Tahoma"/>
            <family val="2"/>
          </rPr>
          <t>http://www.ti.com/widevin/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Rev 1.0, Vijay Choudhary, Texas Instruments, Inc.</t>
        </r>
      </text>
    </comment>
    <comment ref="F6" authorId="0" shapeId="0" xr:uid="{00000000-0006-0000-0000-000003000000}">
      <text>
        <r>
          <rPr>
            <b/>
            <u/>
            <sz val="9"/>
            <color indexed="81"/>
            <rFont val="Tahoma"/>
            <family val="2"/>
          </rPr>
          <t>Minimum Input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minimum operating input voltage.
The LM5176 input voltage operating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55V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4V</t>
        </r>
      </text>
    </comment>
    <comment ref="F7" authorId="0" shapeId="0" xr:uid="{00000000-0006-0000-0000-000004000000}">
      <text>
        <r>
          <rPr>
            <b/>
            <u/>
            <sz val="9"/>
            <color indexed="81"/>
            <rFont val="Tahoma"/>
            <family val="2"/>
          </rPr>
          <t>Nominal Input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nominal operating input voltage.
The LM5176 input voltage operating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V</t>
        </r>
        <r>
          <rPr>
            <b/>
            <vertAlign val="subscript"/>
            <sz val="9"/>
            <color indexed="10"/>
            <rFont val="Tahoma"/>
            <family val="2"/>
          </rPr>
          <t>IN(max)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V</t>
        </r>
        <r>
          <rPr>
            <b/>
            <vertAlign val="subscript"/>
            <sz val="9"/>
            <color indexed="10"/>
            <rFont val="Tahoma"/>
            <family val="2"/>
          </rPr>
          <t>IN(min)</t>
        </r>
      </text>
    </comment>
    <comment ref="F8" authorId="0" shapeId="0" xr:uid="{00000000-0006-0000-0000-000005000000}">
      <text>
        <r>
          <rPr>
            <b/>
            <u/>
            <sz val="9"/>
            <color indexed="81"/>
            <rFont val="Tahoma"/>
            <family val="2"/>
          </rPr>
          <t>Maximum Input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maximum operating input voltage.
The LM5176 input voltage operating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55V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4V</t>
        </r>
      </text>
    </comment>
    <comment ref="F9" authorId="0" shapeId="0" xr:uid="{00000000-0006-0000-0000-000006000000}">
      <text>
        <r>
          <rPr>
            <b/>
            <u/>
            <sz val="9"/>
            <color indexed="81"/>
            <rFont val="Tahoma"/>
            <family val="2"/>
          </rPr>
          <t>Output Voltage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desired output voltage.</t>
        </r>
        <r>
          <rPr>
            <b/>
            <sz val="9"/>
            <color indexed="81"/>
            <rFont val="Tahoma"/>
            <family val="2"/>
          </rPr>
          <t xml:space="preserve">
The text in the cell is flagged red if:
</t>
        </r>
        <r>
          <rPr>
            <b/>
            <sz val="9"/>
            <color indexed="10"/>
            <rFont val="Tahoma"/>
            <family val="2"/>
          </rPr>
          <t>-The output voltage is above 55V 
-The output voltage is below 0.8V</t>
        </r>
      </text>
    </comment>
    <comment ref="F11" authorId="0" shapeId="0" xr:uid="{00000000-0006-0000-0000-000007000000}">
      <text>
        <r>
          <rPr>
            <b/>
            <u/>
            <sz val="9"/>
            <color indexed="81"/>
            <rFont val="Tahoma"/>
            <family val="2"/>
          </rPr>
          <t>Operating Frequency</t>
        </r>
        <r>
          <rPr>
            <b/>
            <sz val="9"/>
            <color indexed="81"/>
            <rFont val="Tahoma"/>
            <family val="2"/>
          </rPr>
          <t xml:space="preserve"> (set by R</t>
        </r>
        <r>
          <rPr>
            <b/>
            <vertAlign val="subscript"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This cell defines the free-running switching frequency set by the R</t>
        </r>
        <r>
          <rPr>
            <vertAlign val="subscript"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resistor. 
</t>
        </r>
        <r>
          <rPr>
            <b/>
            <sz val="9"/>
            <color indexed="81"/>
            <rFont val="Tahoma"/>
            <family val="2"/>
          </rPr>
          <t xml:space="preserve">The text in the cell is flagged red if:
</t>
        </r>
        <r>
          <rPr>
            <b/>
            <sz val="9"/>
            <color indexed="10"/>
            <rFont val="Tahoma"/>
            <family val="2"/>
          </rPr>
          <t>-The frequency is below 100 kHz
-The frequency is above 600 kHz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F16" authorId="0" shapeId="0" xr:uid="{00000000-0006-0000-0000-000008000000}">
      <text>
        <r>
          <rPr>
            <b/>
            <u/>
            <sz val="9"/>
            <color indexed="81"/>
            <rFont val="Tahoma"/>
            <family val="2"/>
          </rPr>
          <t>Filter Inductance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filter inductance here.
Target inductor (peak-to-peak) ripple currrent is 80% of the DC full load </t>
        </r>
        <r>
          <rPr>
            <u/>
            <sz val="9"/>
            <color indexed="81"/>
            <rFont val="Tahoma"/>
            <family val="2"/>
          </rPr>
          <t>output</t>
        </r>
        <r>
          <rPr>
            <sz val="9"/>
            <color indexed="81"/>
            <rFont val="Tahoma"/>
            <family val="2"/>
          </rPr>
          <t xml:space="preserve"> current in BUCK mode at highest input voltage.
Target inductor (peak-to-peak) ripple currrent is 30% of the DC full load </t>
        </r>
        <r>
          <rPr>
            <u/>
            <sz val="9"/>
            <color indexed="81"/>
            <rFont val="Tahoma"/>
            <family val="2"/>
          </rPr>
          <t>input</t>
        </r>
        <r>
          <rPr>
            <sz val="9"/>
            <color indexed="81"/>
            <rFont val="Tahoma"/>
            <family val="2"/>
          </rPr>
          <t xml:space="preserve"> current in BOOST mode at lowest input voltage.</t>
        </r>
      </text>
    </comment>
    <comment ref="F17" authorId="0" shapeId="0" xr:uid="{00000000-0006-0000-0000-000009000000}">
      <text>
        <r>
          <rPr>
            <b/>
            <u/>
            <sz val="9"/>
            <color indexed="81"/>
            <rFont val="Tahoma"/>
            <family val="2"/>
          </rPr>
          <t>Inductor DCR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inductor DC resistance here. This is typically specified in the inductor datasheet at 25°C copper temperature.</t>
        </r>
      </text>
    </comment>
    <comment ref="F26" authorId="0" shapeId="0" xr:uid="{00000000-0006-0000-0000-00000A000000}">
      <text>
        <r>
          <rPr>
            <b/>
            <u/>
            <sz val="9"/>
            <color indexed="81"/>
            <rFont val="Tahoma"/>
            <family val="2"/>
          </rPr>
          <t>OCP Setpoint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required overcurrent protection (OCP) setpoint for output current. A typical level is 125% of full load current.</t>
        </r>
      </text>
    </comment>
    <comment ref="F27" authorId="0" shapeId="0" xr:uid="{00000000-0006-0000-0000-00000B000000}">
      <text>
        <r>
          <rPr>
            <b/>
            <u/>
            <sz val="9"/>
            <color indexed="81"/>
            <rFont val="Tahoma"/>
            <family val="2"/>
          </rPr>
          <t>Sense Resistance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Use this resistor to sense current and set the cycle-by-cycle overcurrent protection. As such, the calculation takes the required current limit setpoint and the inductor ripple current amplitude to calculate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SENSE</t>
        </r>
        <r>
          <rPr>
            <sz val="9"/>
            <color indexed="81"/>
            <rFont val="Tahoma"/>
            <family val="2"/>
          </rPr>
          <t xml:space="preserve">.
The thresholds in BUCK and BOOST modes are 80mV and 120mV, respectively.
The resistances of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CS1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CS2</t>
        </r>
        <r>
          <rPr>
            <sz val="9"/>
            <color indexed="81"/>
            <rFont val="Tahoma"/>
            <family val="2"/>
          </rPr>
          <t xml:space="preserve"> are equal for balanced common-mode filtering to the CS and CSG pins.</t>
        </r>
      </text>
    </comment>
    <comment ref="F29" authorId="0" shapeId="0" xr:uid="{00000000-0006-0000-0000-00000C000000}">
      <text>
        <r>
          <rPr>
            <b/>
            <u/>
            <sz val="9"/>
            <color indexed="81"/>
            <rFont val="Tahoma"/>
            <family val="2"/>
          </rPr>
          <t>Peak Inductor Current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Maximum current in the inductor usually occurs at V</t>
        </r>
        <r>
          <rPr>
            <vertAlign val="subscript"/>
            <sz val="9"/>
            <color indexed="81"/>
            <rFont val="Tahoma"/>
            <family val="2"/>
          </rPr>
          <t>IN(min)</t>
        </r>
        <r>
          <rPr>
            <sz val="9"/>
            <color indexed="81"/>
            <rFont val="Tahoma"/>
            <family val="2"/>
          </rPr>
          <t xml:space="preserve"> or V</t>
        </r>
        <r>
          <rPr>
            <vertAlign val="subscript"/>
            <sz val="9"/>
            <color indexed="81"/>
            <rFont val="Tahoma"/>
            <family val="2"/>
          </rPr>
          <t>IN(max)</t>
        </r>
        <r>
          <rPr>
            <sz val="9"/>
            <color indexed="81"/>
            <rFont val="Tahoma"/>
            <family val="2"/>
          </rPr>
          <t>. The result is corresponds to onset of current limit and is intended as a guide to inductor selection as it relates to saturation current.</t>
        </r>
      </text>
    </comment>
    <comment ref="F30" authorId="0" shapeId="0" xr:uid="{00000000-0006-0000-0000-00000D000000}">
      <text>
        <r>
          <rPr>
            <b/>
            <u/>
            <sz val="9"/>
            <color indexed="81"/>
            <rFont val="Tahoma"/>
            <family val="2"/>
          </rPr>
          <t>Max Shunt Dissipation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Maximum power loss in the shunt resistor occurs at V</t>
        </r>
        <r>
          <rPr>
            <vertAlign val="subscript"/>
            <sz val="9"/>
            <color indexed="81"/>
            <rFont val="Tahoma"/>
            <family val="2"/>
          </rPr>
          <t>IN(min)</t>
        </r>
        <r>
          <rPr>
            <sz val="9"/>
            <color indexed="81"/>
            <rFont val="Tahoma"/>
            <family val="2"/>
          </rPr>
          <t xml:space="preserve"> or V</t>
        </r>
        <r>
          <rPr>
            <vertAlign val="subscript"/>
            <sz val="9"/>
            <color indexed="81"/>
            <rFont val="Tahoma"/>
            <family val="2"/>
          </rPr>
          <t>IN(max)</t>
        </r>
        <r>
          <rPr>
            <sz val="9"/>
            <color indexed="81"/>
            <rFont val="Tahoma"/>
            <family val="2"/>
          </rPr>
          <t>. The result is provided at full load current.
Of course, the dissipation is higher in an overcurrent condition, and the shunt should be rated for this condition.</t>
        </r>
      </text>
    </comment>
    <comment ref="F36" authorId="0" shapeId="0" xr:uid="{00000000-0006-0000-0000-00000E000000}">
      <text>
        <r>
          <rPr>
            <b/>
            <u/>
            <sz val="9"/>
            <color indexed="81"/>
            <rFont val="Tahoma"/>
            <family val="2"/>
          </rPr>
          <t>Constant Current Loop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"N/A" if not required.
Enter current in "A" if this optional feature is being used.
</t>
        </r>
      </text>
    </comment>
    <comment ref="F37" authorId="0" shapeId="0" xr:uid="{00000000-0006-0000-0000-00000F000000}">
      <text>
        <r>
          <rPr>
            <b/>
            <u/>
            <sz val="9"/>
            <color indexed="81"/>
            <rFont val="Tahoma"/>
            <family val="2"/>
          </rPr>
          <t>Output Shunt Resistance</t>
        </r>
        <r>
          <rPr>
            <b/>
            <sz val="9"/>
            <color indexed="81"/>
            <rFont val="Tahoma"/>
            <family val="2"/>
          </rPr>
          <t>:
R</t>
        </r>
        <r>
          <rPr>
            <b/>
            <vertAlign val="subscript"/>
            <sz val="9"/>
            <color indexed="81"/>
            <rFont val="Tahoma"/>
            <family val="2"/>
          </rPr>
          <t>SHUNT</t>
        </r>
        <r>
          <rPr>
            <sz val="9"/>
            <color indexed="81"/>
            <rFont val="Tahoma"/>
            <family val="2"/>
          </rPr>
          <t xml:space="preserve"> is calculated based on the desired constant current loop setpoint.
Specifically, the LM5176 design tool sets the constant current loop based on the transconductance amplifier with g</t>
        </r>
        <r>
          <rPr>
            <vertAlign val="subscript"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 = 1mA/V and current limit threshold of 50mV.</t>
        </r>
      </text>
    </comment>
    <comment ref="F40" authorId="0" shapeId="0" xr:uid="{00000000-0006-0000-0000-000010000000}">
      <text>
        <r>
          <rPr>
            <b/>
            <u/>
            <sz val="9"/>
            <color indexed="81"/>
            <rFont val="Tahoma"/>
            <family val="2"/>
          </rPr>
          <t>Output Voltage Ripple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desired maximum peak-to-peak output voltage ripple here. This will set the ideal output capacitance value.
</t>
        </r>
        <r>
          <rPr>
            <sz val="9"/>
            <color indexed="39"/>
            <rFont val="Tahoma"/>
            <family val="2"/>
          </rPr>
          <t xml:space="preserve">
Max output ripple will likely occur at VIN(min) in BOOST mode or perhaps at VIN(max) in BUCK mode.</t>
        </r>
        <r>
          <rPr>
            <b/>
            <sz val="9"/>
            <color indexed="81"/>
            <rFont val="Tahoma"/>
            <family val="2"/>
          </rPr>
          <t xml:space="preserve">
The text in the cell is flagged red if:
</t>
        </r>
        <r>
          <rPr>
            <b/>
            <sz val="9"/>
            <color indexed="10"/>
            <rFont val="Tahoma"/>
            <family val="2"/>
          </rPr>
          <t>-The output voltage ripple is zero.</t>
        </r>
      </text>
    </comment>
    <comment ref="F42" authorId="0" shapeId="0" xr:uid="{00000000-0006-0000-0000-000011000000}">
      <text>
        <r>
          <rPr>
            <b/>
            <u/>
            <sz val="9"/>
            <color indexed="81"/>
            <rFont val="Tahoma"/>
            <family val="2"/>
          </rPr>
          <t>Output Capacitance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output capacitance here based on the minimum calculated result. Make sure that the nominal capacitance is appropriately derated for applied voltage, particularly with </t>
        </r>
        <r>
          <rPr>
            <sz val="9"/>
            <color indexed="39"/>
            <rFont val="Tahoma"/>
            <family val="2"/>
          </rPr>
          <t>ceramics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-The chosen output capacitor is smaller than the minimum ideal capacitance.</t>
        </r>
      </text>
    </comment>
    <comment ref="F44" authorId="0" shapeId="0" xr:uid="{00000000-0006-0000-0000-000012000000}">
      <text>
        <r>
          <rPr>
            <b/>
            <u/>
            <sz val="9"/>
            <color indexed="81"/>
            <rFont val="Tahoma"/>
            <family val="2"/>
          </rPr>
          <t>Output Capacitor ESR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output capacitor ESR here based on the maximum allowed output capacitor ESR to meet the voltage ripple specification.</t>
        </r>
        <r>
          <rPr>
            <b/>
            <sz val="9"/>
            <color indexed="81"/>
            <rFont val="Tahoma"/>
            <family val="2"/>
          </rPr>
          <t xml:space="preserve">
The text in the cell is flagged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-ESR is zero, or
-ESR exceeds maximum allowable ESR to meet the voltage ripple specification.</t>
        </r>
      </text>
    </comment>
    <comment ref="F49" authorId="0" shapeId="0" xr:uid="{00000000-0006-0000-0000-000013000000}">
      <text>
        <r>
          <rPr>
            <b/>
            <u/>
            <sz val="9"/>
            <color indexed="81"/>
            <rFont val="Tahoma"/>
            <family val="2"/>
          </rPr>
          <t>Input Voltage Ripple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desired maximum peak-to-peak input voltage ripple here. This will set the ideal input capacitance requirement.</t>
        </r>
        <r>
          <rPr>
            <b/>
            <sz val="9"/>
            <color indexed="81"/>
            <rFont val="Tahoma"/>
            <family val="2"/>
          </rPr>
          <t xml:space="preserve">
The text in thiecell is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-The input voltage ripple is zero.</t>
        </r>
      </text>
    </comment>
    <comment ref="F51" authorId="0" shapeId="0" xr:uid="{00000000-0006-0000-0000-000014000000}">
      <text>
        <r>
          <rPr>
            <b/>
            <u/>
            <sz val="9"/>
            <color indexed="81"/>
            <rFont val="Tahoma"/>
            <family val="2"/>
          </rPr>
          <t>Input Capacitance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input capacitance here based on the minimum calculated result. Make sure that the nominal capacitance is appropriately derated for applied voltage.
</t>
        </r>
        <r>
          <rPr>
            <b/>
            <sz val="9"/>
            <color indexed="81"/>
            <rFont val="Tahoma"/>
            <family val="2"/>
          </rPr>
          <t xml:space="preserve">The text in the cell is flagged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-The chosen input capacitor is smaller than the minimum ideal capacitance.</t>
        </r>
      </text>
    </comment>
    <comment ref="F53" authorId="0" shapeId="0" xr:uid="{00000000-0006-0000-0000-000015000000}">
      <text>
        <r>
          <rPr>
            <b/>
            <u/>
            <sz val="9"/>
            <color indexed="81"/>
            <rFont val="Tahoma"/>
            <family val="2"/>
          </rPr>
          <t>Input Capacitor ESR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input capacitor ESR here based on the maximum allowed input capacitor ESR to meet the ripple voltage specification.</t>
        </r>
        <r>
          <rPr>
            <b/>
            <sz val="9"/>
            <color indexed="81"/>
            <rFont val="Tahoma"/>
            <family val="2"/>
          </rPr>
          <t xml:space="preserve">
The text in the cell is flagged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-ESR is zero, or
-ESR exceeds maximum allowable ESR to meet the voltage ripple specification.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F58" authorId="0" shapeId="0" xr:uid="{00000000-0006-0000-0000-000016000000}">
      <text>
        <r>
          <rPr>
            <b/>
            <u/>
            <sz val="8"/>
            <color indexed="81"/>
            <rFont val="Tahoma"/>
            <family val="2"/>
          </rPr>
          <t>Soft-Start Time</t>
        </r>
        <r>
          <rPr>
            <b/>
            <sz val="8"/>
            <color indexed="81"/>
            <rFont val="Tahoma"/>
            <family val="2"/>
          </rPr>
          <t xml:space="preserve">:
</t>
        </r>
        <r>
          <rPr>
            <sz val="8"/>
            <color indexed="81"/>
            <rFont val="Tahoma"/>
            <family val="2"/>
          </rPr>
          <t xml:space="preserve">Enter the desired soft-start time here. The soft-start time cannot be shorter than the internal 1.28 ms soft-start timer.
</t>
        </r>
        <r>
          <rPr>
            <b/>
            <sz val="8"/>
            <color indexed="81"/>
            <rFont val="Tahoma"/>
            <family val="2"/>
          </rPr>
          <t xml:space="preserve">
The text in this cell is flagged red if: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-The specified soft-start time is less than 1.28 ms.</t>
        </r>
      </text>
    </comment>
    <comment ref="F60" authorId="0" shapeId="0" xr:uid="{00000000-0006-0000-0000-000017000000}">
      <text>
        <r>
          <rPr>
            <b/>
            <u/>
            <sz val="9"/>
            <color indexed="81"/>
            <rFont val="Tahoma"/>
            <family val="2"/>
          </rPr>
          <t>Dither Low Frequency Modulation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desired dither low-frequency modulation rate. The dither capacitor charges and discharges in triangular fashion between ~98% and 108% of the 1.22V bandgap, i.e. 122mV amplitude, and sets up a 10% modulation of the nominal oscillator frequency.
Note that the LM5176 does not perform dither if the SYNC function is used.
</t>
        </r>
        <r>
          <rPr>
            <b/>
            <sz val="9"/>
            <color indexed="39"/>
            <rFont val="Tahoma"/>
            <family val="2"/>
          </rPr>
          <t xml:space="preserve">
If the dither feature is not required, the DITH pin should be tied to GND.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2" authorId="0" shapeId="0" xr:uid="{00000000-0006-0000-0000-000018000000}">
      <text>
        <r>
          <rPr>
            <b/>
            <u/>
            <sz val="9"/>
            <color indexed="81"/>
            <rFont val="Tahoma"/>
            <family val="2"/>
          </rPr>
          <t>Nominal UVLO Turn-On Input Voltage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nominal input voltage at turn on.
The LM5176 input operating voltage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55V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4V</t>
        </r>
      </text>
    </comment>
    <comment ref="F64" authorId="0" shapeId="0" xr:uid="{00000000-0006-0000-0000-000019000000}">
      <text>
        <r>
          <rPr>
            <b/>
            <u/>
            <sz val="9"/>
            <color indexed="81"/>
            <rFont val="Tahoma"/>
            <family val="2"/>
          </rPr>
          <t>Nominal UVLO Upper Resistor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This is the upper UVLO resistor that sets the input voltage turn on. A recommended starting value of R</t>
        </r>
        <r>
          <rPr>
            <vertAlign val="subscript"/>
            <sz val="9"/>
            <color indexed="81"/>
            <rFont val="Tahoma"/>
            <family val="2"/>
          </rPr>
          <t>UV1</t>
        </r>
        <r>
          <rPr>
            <sz val="9"/>
            <color indexed="81"/>
            <rFont val="Tahoma"/>
            <family val="2"/>
          </rPr>
          <t xml:space="preserve"> is 200kΩ.</t>
        </r>
      </text>
    </comment>
    <comment ref="F71" authorId="0" shapeId="0" xr:uid="{00000000-0006-0000-0000-00001A000000}">
      <text>
        <r>
          <rPr>
            <b/>
            <u/>
            <sz val="9"/>
            <color indexed="81"/>
            <rFont val="Tahoma"/>
            <family val="2"/>
          </rPr>
          <t>Crossover Frequency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desired crossover frequency (usually between 5% and 20% of switching frequency). This feedback compensation components are determined based on this target performance metric.
</t>
        </r>
        <r>
          <rPr>
            <b/>
            <sz val="9"/>
            <color indexed="39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Compensaton components are calculated based on the nominal input voltage entered in Step 1.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 xml:space="preserve">
** After fixing the compensation components, sweep VIN(nom) across the input range to ensure adequate stability performance, especially at low VIN **</t>
        </r>
      </text>
    </comment>
    <comment ref="F73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FB1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This is the upper feedback resistor that sets the output voltage. A recommended starting value of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FB1</t>
        </r>
        <r>
          <rPr>
            <sz val="9"/>
            <color indexed="81"/>
            <rFont val="Tahoma"/>
            <family val="2"/>
          </rPr>
          <t xml:space="preserve"> is 100kΩ.</t>
        </r>
      </text>
    </comment>
    <comment ref="E77" authorId="0" shapeId="0" xr:uid="{00000000-0006-0000-0000-00001C000000}">
      <text>
        <r>
          <rPr>
            <b/>
            <u/>
            <sz val="9"/>
            <color indexed="81"/>
            <rFont val="Tahoma"/>
            <family val="2"/>
          </rPr>
          <t>Selected Compensation Components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4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Compensation components are calculated based on the nominal input voltage from Step 1 and the desired crossover frequency from Step 7.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4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39"/>
            <rFont val="Tahoma"/>
            <family val="2"/>
          </rPr>
          <t>1. Fix the compensation values by clicking the FIX VALUES button.</t>
        </r>
        <r>
          <rPr>
            <b/>
            <sz val="9"/>
            <color indexed="10"/>
            <rFont val="Tahoma"/>
            <family val="2"/>
          </rPr>
          <t xml:space="preserve">
</t>
        </r>
        <r>
          <rPr>
            <b/>
            <sz val="9"/>
            <color indexed="39"/>
            <rFont val="Tahoma"/>
            <family val="2"/>
          </rPr>
          <t>2. Sweep VIN(nom) across the required input range to ensure adequate stability performance, especially at low VIN.</t>
        </r>
      </text>
    </comment>
    <comment ref="J78" authorId="0" shapeId="0" xr:uid="{00000000-0006-0000-0000-00001D000000}">
      <text>
        <r>
          <rPr>
            <b/>
            <u/>
            <sz val="9"/>
            <color indexed="81"/>
            <rFont val="Tahoma"/>
            <family val="2"/>
          </rPr>
          <t>COMP Min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This is the minimum steady state COMP voltage -- usually occurring at VIN(max) and no load -- and should be greater than 0.3V.</t>
        </r>
      </text>
    </comment>
    <comment ref="J79" authorId="0" shapeId="0" xr:uid="{00000000-0006-0000-0000-00001E000000}">
      <text>
        <r>
          <rPr>
            <b/>
            <u/>
            <sz val="9"/>
            <color indexed="81"/>
            <rFont val="Tahoma"/>
            <family val="2"/>
          </rPr>
          <t>COMP Max Voltage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This is the maximum steady state COMP voltage -- usually occurring at VIN(min) and full load -- and should be less than 3.0V.</t>
        </r>
      </text>
    </comment>
    <comment ref="E87" authorId="1" shapeId="0" xr:uid="{00000000-0006-0000-0000-00001F000000}">
      <text>
        <r>
          <rPr>
            <b/>
            <sz val="10"/>
            <color indexed="81"/>
            <rFont val="Tahoma"/>
            <family val="2"/>
          </rPr>
          <t>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high-side MOSFET here (at the appropriate gate drive level, typically 7.5V). High current designs (&gt;5A) can incur large conduction losses and, as such, demand MOSFETs with low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.
MOSFET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has a positive temperature coefficient (resistance increases with increasing temperature). This temperature coefficient is accounted for in the efficiency and power dissipation calculations.</t>
        </r>
      </text>
    </comment>
    <comment ref="F87" authorId="1" shapeId="0" xr:uid="{00000000-0006-0000-0000-000020000000}">
      <text>
        <r>
          <rPr>
            <b/>
            <sz val="10"/>
            <color indexed="81"/>
            <rFont val="Tahoma"/>
            <family val="2"/>
          </rPr>
          <t>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low-side MOSFET here  (at the appropriate gate drive level, typically 7.5V). High current designs (&gt;5A) can incur large conduction losses and, as such, demand MOSFETs with low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.
MOSFET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has a positive temperature coefficient (resistance increases with increasing temperature). This temperature coefficient is accounted for in the efficiency and power dissipation calculations.</t>
        </r>
      </text>
    </comment>
    <comment ref="E88" authorId="1" shapeId="0" xr:uid="{00000000-0006-0000-0000-000021000000}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total gate charge of the high-side MOSFET here (at the appropriate gate drive voltage level, typically 7.5V).</t>
        </r>
      </text>
    </comment>
    <comment ref="F88" authorId="1" shapeId="0" xr:uid="{00000000-0006-0000-0000-000022000000}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total gate charge of the low-side MOSFET here (at the appropriate gate drive level, typically 7.5V)</t>
        </r>
      </text>
    </comment>
    <comment ref="E89" authorId="1" shapeId="0" xr:uid="{00000000-0006-0000-0000-000023000000}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high-side MOSFET here.
MOSFET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affects the turn-on and-off transition times. Slow transition times result in a decrease in efficiency, especially at higher input voltages.</t>
        </r>
      </text>
    </comment>
    <comment ref="F89" authorId="1" shapeId="0" xr:uid="{00000000-0006-0000-0000-000024000000}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buck low-side MOSFET here.</t>
        </r>
      </text>
    </comment>
    <comment ref="E90" authorId="1" shapeId="0" xr:uid="{00000000-0006-0000-0000-000025000000}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F90" authorId="1" shapeId="0" xr:uid="{00000000-0006-0000-0000-000026000000}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E91" authorId="1" shapeId="0" xr:uid="{00000000-0006-0000-0000-000027000000}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high-side MOSFET gate resistance here. </t>
        </r>
      </text>
    </comment>
    <comment ref="F91" authorId="1" shapeId="0" xr:uid="{00000000-0006-0000-0000-000028000000}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low-side MOSFET gate resistance here. </t>
        </r>
      </text>
    </comment>
    <comment ref="E92" authorId="1" shapeId="0" xr:uid="{00000000-0006-0000-0000-000029000000}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high-side MOSFET here.</t>
        </r>
      </text>
    </comment>
    <comment ref="F92" authorId="1" shapeId="0" xr:uid="{00000000-0006-0000-0000-00002A000000}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low-side MOSFET here.</t>
        </r>
      </text>
    </comment>
    <comment ref="E93" authorId="1" shapeId="0" xr:uid="{00000000-0006-0000-0000-00002B000000}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F93" authorId="1" shapeId="0" xr:uid="{00000000-0006-0000-0000-00002C000000}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E94" authorId="1" shapeId="0" xr:uid="{00000000-0006-0000-0000-00002D000000}">
      <text>
        <r>
          <rPr>
            <b/>
            <sz val="10"/>
            <color indexed="81"/>
            <rFont val="Tahoma"/>
            <family val="2"/>
          </rPr>
          <t>Body Diode Forward Voltage (V</t>
        </r>
        <r>
          <rPr>
            <b/>
            <vertAlign val="subscript"/>
            <sz val="10"/>
            <color indexed="81"/>
            <rFont val="Tahoma"/>
            <family val="2"/>
          </rPr>
          <t>bd1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A MOSFET has an inherent reverse body diode, and the voltage drop usually is specified at a rated current. The high-side MOSFET body diode contributes power loss during negative current events.</t>
        </r>
      </text>
    </comment>
    <comment ref="F94" authorId="1" shapeId="0" xr:uid="{00000000-0006-0000-0000-00002E000000}">
      <text>
        <r>
          <rPr>
            <b/>
            <sz val="10"/>
            <color indexed="81"/>
            <rFont val="Tahoma"/>
            <family val="2"/>
          </rPr>
          <t>Body Diode Forward Voltage (V</t>
        </r>
        <r>
          <rPr>
            <b/>
            <vertAlign val="subscript"/>
            <sz val="10"/>
            <color indexed="81"/>
            <rFont val="Tahoma"/>
            <family val="2"/>
          </rPr>
          <t>bd1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A MOSFET has an inherent reverse body diode, and the voltage drop usually is specified at a rated current. The low-side MOSFET body diode contributes power loss related to both conduction and reverse recovery losses.</t>
        </r>
      </text>
    </comment>
    <comment ref="F95" authorId="1" shapeId="0" xr:uid="{00000000-0006-0000-0000-00002F000000}">
      <text>
        <r>
          <rPr>
            <b/>
            <sz val="10"/>
            <color indexed="81"/>
            <rFont val="Tahoma"/>
            <family val="2"/>
          </rPr>
          <t>Body Diode Recovery Charge (Q</t>
        </r>
        <r>
          <rPr>
            <b/>
            <vertAlign val="subscript"/>
            <sz val="10"/>
            <color indexed="81"/>
            <rFont val="Tahoma"/>
            <family val="2"/>
          </rPr>
          <t>RR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reverse recovery charge of the low-side MOSFET body diode here. </t>
        </r>
      </text>
    </comment>
    <comment ref="E96" authorId="1" shapeId="0" xr:uid="{00000000-0006-0000-0000-000030000000}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F96" authorId="1" shapeId="0" xr:uid="{00000000-0006-0000-0000-000031000000}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E100" authorId="1" shapeId="0" xr:uid="{00000000-0006-0000-0000-000032000000}">
      <text>
        <r>
          <rPr>
            <b/>
            <sz val="10"/>
            <color indexed="81"/>
            <rFont val="Tahoma"/>
            <family val="2"/>
          </rPr>
          <t>MOSFET 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high-side MOSFET here at the appropriate gate drive level. High current designs (&gt;5A) can incur large conduction losses and, as such, demand MOSFETs with low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Calibri"/>
            <family val="2"/>
          </rPr>
          <t xml:space="preserve">– </t>
        </r>
        <r>
          <rPr>
            <sz val="10"/>
            <color indexed="81"/>
            <rFont val="Tahoma"/>
            <family val="2"/>
          </rPr>
          <t>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>. MOSFET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temperature coefficient is accounted for in the efficiency and power dissipation calculations.  </t>
        </r>
      </text>
    </comment>
    <comment ref="F100" authorId="1" shapeId="0" xr:uid="{00000000-0006-0000-0000-000033000000}">
      <text>
        <r>
          <rPr>
            <b/>
            <sz val="10"/>
            <color indexed="81"/>
            <rFont val="Tahoma"/>
            <family val="2"/>
          </rPr>
          <t>MOSFET 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low-side MOSFET here at the appropriate gate drive level. High current designs (&gt;5A) can incur large conduction losses and, as such, demand MOSFETs with low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Calibri"/>
            <family val="2"/>
          </rPr>
          <t xml:space="preserve">– </t>
        </r>
        <r>
          <rPr>
            <sz val="10"/>
            <color indexed="81"/>
            <rFont val="Tahoma"/>
            <family val="2"/>
          </rPr>
          <t>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>. MOSFET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temperature coefficient is accounted for in the efficiency and power dissipation calculations.  </t>
        </r>
      </text>
    </comment>
    <comment ref="E101" authorId="1" shapeId="0" xr:uid="{00000000-0006-0000-0000-000034000000}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total gate charge of the MOSFET here, based on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 xml:space="preserve"> = 7.5V.</t>
        </r>
      </text>
    </comment>
    <comment ref="F101" authorId="1" shapeId="0" xr:uid="{00000000-0006-0000-0000-000035000000}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total gate charge of the MOSFET here, based on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 xml:space="preserve"> = 7.5V.</t>
        </r>
      </text>
    </comment>
    <comment ref="E102" authorId="1" shapeId="0" xr:uid="{00000000-0006-0000-0000-000036000000}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boost high-side MOSFET here.</t>
        </r>
      </text>
    </comment>
    <comment ref="F102" authorId="1" shapeId="0" xr:uid="{00000000-0006-0000-0000-000037000000}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boost low-side MOSFET here.
MOSFET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will affect the turn-on and-off transition times. Slow transition times will result in a decrease in efficiency, especially at higher input voltages.</t>
        </r>
      </text>
    </comment>
    <comment ref="E103" authorId="1" shapeId="0" xr:uid="{00000000-0006-0000-0000-000038000000}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F103" authorId="1" shapeId="0" xr:uid="{00000000-0006-0000-0000-000039000000}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E104" authorId="1" shapeId="0" xr:uid="{00000000-0006-0000-0000-00003A000000}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boost high-side MOSFET gate resistance here. </t>
        </r>
      </text>
    </comment>
    <comment ref="F104" authorId="1" shapeId="0" xr:uid="{00000000-0006-0000-0000-00003B000000}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low-side MOSFET gate resistance here. </t>
        </r>
      </text>
    </comment>
    <comment ref="E105" authorId="1" shapeId="0" xr:uid="{00000000-0006-0000-0000-00003C000000}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high-side MOSFET here.</t>
        </r>
      </text>
    </comment>
    <comment ref="F105" authorId="1" shapeId="0" xr:uid="{00000000-0006-0000-0000-00003D000000}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low-side MOSFET here.</t>
        </r>
      </text>
    </comment>
    <comment ref="E106" authorId="1" shapeId="0" xr:uid="{00000000-0006-0000-0000-00003E000000}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high-side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F106" authorId="1" shapeId="0" xr:uid="{00000000-0006-0000-0000-00003F000000}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low-side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E107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Body Diode Voltage (V</t>
        </r>
        <r>
          <rPr>
            <b/>
            <vertAlign val="subscript"/>
            <sz val="9"/>
            <color indexed="81"/>
            <rFont val="Tahoma"/>
            <family val="2"/>
          </rPr>
          <t>sd</t>
        </r>
        <r>
          <rPr>
            <b/>
            <sz val="9"/>
            <color indexed="81"/>
            <rFont val="Tahoma"/>
            <family val="2"/>
          </rPr>
          <t xml:space="preserve">):
</t>
        </r>
        <r>
          <rPr>
            <sz val="9"/>
            <color indexed="81"/>
            <rFont val="Tahoma"/>
            <family val="2"/>
          </rPr>
          <t>The high-side MOSFET body diode can contribute power loss in boost operation - related to (1) body diode conduction drop during the deadtime, and (2) diode reverse recovery current.</t>
        </r>
      </text>
    </comment>
    <comment ref="F107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Body Diode Voltage (V</t>
        </r>
        <r>
          <rPr>
            <b/>
            <vertAlign val="subscript"/>
            <sz val="9"/>
            <color indexed="81"/>
            <rFont val="Tahoma"/>
            <family val="2"/>
          </rPr>
          <t>sd</t>
        </r>
        <r>
          <rPr>
            <b/>
            <sz val="9"/>
            <color indexed="81"/>
            <rFont val="Tahoma"/>
            <family val="2"/>
          </rPr>
          <t xml:space="preserve">):
</t>
        </r>
        <r>
          <rPr>
            <sz val="9"/>
            <color indexed="81"/>
            <rFont val="Tahoma"/>
            <family val="2"/>
          </rPr>
          <t>The low-side MOSFET body diode can contribute power loss related to body diode conduction drop during the deadtime at light loads.</t>
        </r>
      </text>
    </comment>
    <comment ref="E108" authorId="1" shapeId="0" xr:uid="{00000000-0006-0000-0000-000042000000}">
      <text>
        <r>
          <rPr>
            <b/>
            <sz val="10"/>
            <color indexed="81"/>
            <rFont val="Tahoma"/>
            <family val="2"/>
          </rPr>
          <t>Body Diode Recovery Charge (Q</t>
        </r>
        <r>
          <rPr>
            <b/>
            <vertAlign val="subscript"/>
            <sz val="10"/>
            <color indexed="81"/>
            <rFont val="Tahoma"/>
            <family val="2"/>
          </rPr>
          <t>RR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reverse recovery charge of the boost high-side MOSFET body diode here. </t>
        </r>
      </text>
    </comment>
    <comment ref="E109" authorId="1" shapeId="0" xr:uid="{00000000-0006-0000-0000-000043000000}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F109" authorId="1" shapeId="0" xr:uid="{00000000-0006-0000-0000-000044000000}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E112" authorId="1" shapeId="0" xr:uid="{00000000-0006-0000-0000-000045000000}">
      <text>
        <r>
          <rPr>
            <b/>
            <sz val="10"/>
            <color indexed="81"/>
            <rFont val="Tahoma"/>
            <family val="2"/>
          </rPr>
          <t xml:space="preserve">Schottky Forward Voltage:
</t>
        </r>
        <r>
          <rPr>
            <sz val="10"/>
            <color indexed="81"/>
            <rFont val="Tahoma"/>
            <family val="2"/>
          </rPr>
          <t>If a Schottky diode is used, enter the forward voltage at the rated current here. If a Schottky diode is not used, enter "0" into this cell.</t>
        </r>
      </text>
    </comment>
    <comment ref="F112" authorId="1" shapeId="0" xr:uid="{00000000-0006-0000-0000-000046000000}">
      <text>
        <r>
          <rPr>
            <b/>
            <sz val="10"/>
            <color indexed="81"/>
            <rFont val="Tahoma"/>
            <family val="2"/>
          </rPr>
          <t xml:space="preserve">Schottky Forward Voltage:
</t>
        </r>
        <r>
          <rPr>
            <sz val="10"/>
            <color indexed="81"/>
            <rFont val="Tahoma"/>
            <family val="2"/>
          </rPr>
          <t>If a Schottky diode is used, enter the forward voltage at the rated current here. If a Schottky diode is not used, enter "0" into this cell.</t>
        </r>
      </text>
    </comment>
    <comment ref="E113" authorId="1" shapeId="0" xr:uid="{00000000-0006-0000-0000-000047000000}">
      <text>
        <r>
          <rPr>
            <b/>
            <sz val="10"/>
            <color indexed="81"/>
            <rFont val="Tahoma"/>
            <family val="2"/>
          </rPr>
          <t xml:space="preserve">Schottky Diode Reverse Recovery Charge:
</t>
        </r>
        <r>
          <rPr>
            <sz val="10"/>
            <color indexed="81"/>
            <rFont val="Tahoma"/>
            <family val="2"/>
          </rPr>
          <t>Enter the diode reverse recovery charge here.
If a Schottky diode is not used, enter "0" into this cell.</t>
        </r>
      </text>
    </comment>
    <comment ref="F113" authorId="1" shapeId="0" xr:uid="{00000000-0006-0000-0000-000048000000}">
      <text>
        <r>
          <rPr>
            <b/>
            <sz val="10"/>
            <color indexed="81"/>
            <rFont val="Tahoma"/>
            <family val="2"/>
          </rPr>
          <t xml:space="preserve">Schottky Diode Reverse Recovery Charge:
</t>
        </r>
        <r>
          <rPr>
            <sz val="10"/>
            <color indexed="81"/>
            <rFont val="Tahoma"/>
            <family val="2"/>
          </rPr>
          <t>Enter the diode reverse recovery charge here.
If a Schottky diode is not used, enter "0" into this cell.</t>
        </r>
      </text>
    </comment>
  </commentList>
</comments>
</file>

<file path=xl/sharedStrings.xml><?xml version="1.0" encoding="utf-8"?>
<sst xmlns="http://schemas.openxmlformats.org/spreadsheetml/2006/main" count="1982" uniqueCount="984">
  <si>
    <t>V</t>
  </si>
  <si>
    <t>Output Voltage</t>
  </si>
  <si>
    <t>A</t>
  </si>
  <si>
    <t>kHz</t>
  </si>
  <si>
    <t>Vin</t>
  </si>
  <si>
    <t>Vout</t>
  </si>
  <si>
    <t>Iout</t>
  </si>
  <si>
    <t>Fsw</t>
  </si>
  <si>
    <t>Value</t>
  </si>
  <si>
    <t>STD Units</t>
  </si>
  <si>
    <t>Hz</t>
  </si>
  <si>
    <t>uH</t>
  </si>
  <si>
    <t>Rdcr</t>
  </si>
  <si>
    <t>Notes</t>
  </si>
  <si>
    <t>Nominal input voltage</t>
  </si>
  <si>
    <t>Don1</t>
  </si>
  <si>
    <t>Doff1</t>
  </si>
  <si>
    <t>Don2</t>
  </si>
  <si>
    <t>Doff2</t>
  </si>
  <si>
    <t>index</t>
  </si>
  <si>
    <t>H</t>
  </si>
  <si>
    <t>Ohms</t>
  </si>
  <si>
    <t>Vripple1</t>
  </si>
  <si>
    <t>Minimum Output Capacitnace</t>
  </si>
  <si>
    <t>Coutmin</t>
  </si>
  <si>
    <t>uF</t>
  </si>
  <si>
    <t>F</t>
  </si>
  <si>
    <t>Cout</t>
  </si>
  <si>
    <t>Fesr</t>
  </si>
  <si>
    <t>Q</t>
  </si>
  <si>
    <t>V/V</t>
  </si>
  <si>
    <t>Rfb1</t>
  </si>
  <si>
    <t>pF</t>
  </si>
  <si>
    <t>Cc1ea</t>
  </si>
  <si>
    <t>Cc2ea</t>
  </si>
  <si>
    <t>Rcea1</t>
  </si>
  <si>
    <t>Rcea1_u</t>
  </si>
  <si>
    <t>Cc1ea_u</t>
  </si>
  <si>
    <t>Cc2ea_u</t>
  </si>
  <si>
    <t>Fz1</t>
  </si>
  <si>
    <t>Fp1</t>
  </si>
  <si>
    <t>Pi</t>
  </si>
  <si>
    <t>Vp-p</t>
  </si>
  <si>
    <t>Rfb2</t>
  </si>
  <si>
    <t>Vref</t>
  </si>
  <si>
    <t>Reference Voltage</t>
  </si>
  <si>
    <t>Ro</t>
  </si>
  <si>
    <t>xover</t>
  </si>
  <si>
    <t>phase margin</t>
  </si>
  <si>
    <t>Total</t>
  </si>
  <si>
    <t>XOVER SEARCH</t>
  </si>
  <si>
    <t>Variable Name</t>
  </si>
  <si>
    <t>Resrmax</t>
  </si>
  <si>
    <t>mΩ</t>
  </si>
  <si>
    <t>kΩ</t>
  </si>
  <si>
    <t>TERMS OF USE</t>
  </si>
  <si>
    <t>IQ</t>
  </si>
  <si>
    <t>Step</t>
  </si>
  <si>
    <t>Total Loss</t>
  </si>
  <si>
    <t>Design</t>
  </si>
  <si>
    <t>L</t>
  </si>
  <si>
    <t>Cin</t>
  </si>
  <si>
    <t>Components</t>
  </si>
  <si>
    <t>Top FET</t>
  </si>
  <si>
    <t>RdsonDRB</t>
  </si>
  <si>
    <t>RdsonDRT</t>
  </si>
  <si>
    <t>Deadtime</t>
  </si>
  <si>
    <t>mOhms</t>
  </si>
  <si>
    <t>mA</t>
  </si>
  <si>
    <t>nC</t>
  </si>
  <si>
    <t>S</t>
  </si>
  <si>
    <t>QgBot</t>
  </si>
  <si>
    <t>RdsonBot</t>
  </si>
  <si>
    <t>GfsTop</t>
  </si>
  <si>
    <t>QgTop</t>
  </si>
  <si>
    <t>RdsonTop</t>
  </si>
  <si>
    <t>VsdBot</t>
  </si>
  <si>
    <t>QrrBot</t>
  </si>
  <si>
    <t>TrrBot</t>
  </si>
  <si>
    <t>ns</t>
  </si>
  <si>
    <t>Units</t>
  </si>
  <si>
    <t>Outputs</t>
  </si>
  <si>
    <t>Dprime</t>
  </si>
  <si>
    <t>RdsonTopTc</t>
  </si>
  <si>
    <t>RdsonBotTc</t>
  </si>
  <si>
    <t>ppm</t>
  </si>
  <si>
    <t>LTc</t>
  </si>
  <si>
    <t>Ta</t>
  </si>
  <si>
    <t>Irms</t>
  </si>
  <si>
    <t>RCoutEsr</t>
  </si>
  <si>
    <t>RCinEsr</t>
  </si>
  <si>
    <t>DCR    Loss</t>
  </si>
  <si>
    <t>Tr</t>
  </si>
  <si>
    <t>Tf</t>
  </si>
  <si>
    <t>RGateTop</t>
  </si>
  <si>
    <t>RGateBot</t>
  </si>
  <si>
    <t>VthTop</t>
  </si>
  <si>
    <t>Reverse Recovery Loss</t>
  </si>
  <si>
    <t>Switching Frequency</t>
  </si>
  <si>
    <t>Max Output Current</t>
  </si>
  <si>
    <t>Ambient Temperature</t>
  </si>
  <si>
    <t>Inductor Series Resistance Temp Co</t>
  </si>
  <si>
    <t>Total Deadtime</t>
  </si>
  <si>
    <t>Gate Charge Of Top FET</t>
  </si>
  <si>
    <t>Gate Resistance</t>
  </si>
  <si>
    <t>Transconductance of Top FET</t>
  </si>
  <si>
    <t>Threshold Voltage of Top FET</t>
  </si>
  <si>
    <t>Junction to Ambient Resistance</t>
  </si>
  <si>
    <t>Drain To Source Resitance Temp Co</t>
  </si>
  <si>
    <t>Diode Forward Voltage of Bottom FET Body Diode</t>
  </si>
  <si>
    <t>Reverse Recovery Time of Body Diode</t>
  </si>
  <si>
    <t>Description</t>
  </si>
  <si>
    <t>Input Parameters</t>
  </si>
  <si>
    <t>Drain to Source Resistance Temp Co</t>
  </si>
  <si>
    <t>Reverse Recovery Charge of Body Diode</t>
  </si>
  <si>
    <t>Input Value</t>
  </si>
  <si>
    <t>Top Driver</t>
  </si>
  <si>
    <t>Bottom Driver</t>
  </si>
  <si>
    <t>Part Power</t>
  </si>
  <si>
    <t>Power Dis</t>
  </si>
  <si>
    <t>W</t>
  </si>
  <si>
    <t>Controller</t>
  </si>
  <si>
    <t>Theta Ja</t>
  </si>
  <si>
    <t>Temp rise</t>
  </si>
  <si>
    <t>θJA=80</t>
  </si>
  <si>
    <t>θJA=100</t>
  </si>
  <si>
    <t>θJA=120</t>
  </si>
  <si>
    <t>θJA=140</t>
  </si>
  <si>
    <t>θJA=160</t>
  </si>
  <si>
    <t>θJA=180</t>
  </si>
  <si>
    <t>QgdTop</t>
  </si>
  <si>
    <t>Gate to Drain Charge</t>
  </si>
  <si>
    <t>Qg</t>
  </si>
  <si>
    <t>θJA=20</t>
  </si>
  <si>
    <t>θJA=30</t>
  </si>
  <si>
    <t>θJA=40</t>
  </si>
  <si>
    <t>θJA=50</t>
  </si>
  <si>
    <t>250kHz / 5-1.2V /25A</t>
  </si>
  <si>
    <t>250kHz / 12-5V / 30A</t>
  </si>
  <si>
    <t>500kHz / 5-1.2V / 15A</t>
  </si>
  <si>
    <t>1Mhz / 5-1.2V / 10A</t>
  </si>
  <si>
    <t>1Mhz / 12-1.2V/ 10A</t>
  </si>
  <si>
    <t>500kHz / 12-5V / 15A</t>
  </si>
  <si>
    <t>250kHz / 18-1.2V / 20A</t>
  </si>
  <si>
    <t>500kHz / 18-1.2V / 20A</t>
  </si>
  <si>
    <t>θJA=120°C/W - 160°C/W</t>
  </si>
  <si>
    <t>θJA=30°C/W - 50°C/W</t>
  </si>
  <si>
    <t>VspTop</t>
  </si>
  <si>
    <t>QgsTop</t>
  </si>
  <si>
    <t>RdsonDRB2</t>
  </si>
  <si>
    <t>RdsonDRT2</t>
  </si>
  <si>
    <t>EFF_1 @ 25°C</t>
  </si>
  <si>
    <t>Efficiency</t>
  </si>
  <si>
    <t>Pdis</t>
  </si>
  <si>
    <t>Vin=10V</t>
  </si>
  <si>
    <t>Vout=5.1V</t>
  </si>
  <si>
    <t xml:space="preserve">L=3.3uH/30mOhm </t>
  </si>
  <si>
    <t>4394 Top and Bottom Fets</t>
  </si>
  <si>
    <t xml:space="preserve">IQ </t>
  </si>
  <si>
    <t>ThetaCa</t>
  </si>
  <si>
    <t>Core to Ambient Thermal Resistance</t>
  </si>
  <si>
    <t>Quiescent Current Of Controller (Not Switching!)</t>
  </si>
  <si>
    <t>This pole cancels the zero from the Output Cap ESR</t>
  </si>
  <si>
    <t>s</t>
  </si>
  <si>
    <t>Part Characteristics</t>
  </si>
  <si>
    <t>C</t>
  </si>
  <si>
    <t>Switching Current Loss</t>
  </si>
  <si>
    <t>Rfb2_u</t>
  </si>
  <si>
    <t>CoutEsr</t>
  </si>
  <si>
    <t>Ω</t>
  </si>
  <si>
    <t>Step 4: Output Capacitor</t>
  </si>
  <si>
    <t>Step 5: Input Capacitor</t>
  </si>
  <si>
    <t>nF</t>
  </si>
  <si>
    <t>R1</t>
  </si>
  <si>
    <t>R2</t>
  </si>
  <si>
    <t>VIN</t>
  </si>
  <si>
    <t>A (rms)</t>
  </si>
  <si>
    <t>= Input Box</t>
  </si>
  <si>
    <t>Input capacitance</t>
  </si>
  <si>
    <t>Step 1: Operational Specs</t>
  </si>
  <si>
    <t>ms</t>
  </si>
  <si>
    <t>Tss</t>
  </si>
  <si>
    <t>Iss</t>
  </si>
  <si>
    <t>Css</t>
  </si>
  <si>
    <t>C1</t>
  </si>
  <si>
    <t>C2</t>
  </si>
  <si>
    <t>Ripple I</t>
  </si>
  <si>
    <t>%</t>
  </si>
  <si>
    <t xml:space="preserve">I1 </t>
  </si>
  <si>
    <t xml:space="preserve">I2 </t>
  </si>
  <si>
    <t>Part Number</t>
  </si>
  <si>
    <t>Csb</t>
  </si>
  <si>
    <t>Rh</t>
  </si>
  <si>
    <t>Capacitors</t>
  </si>
  <si>
    <t>(pF)</t>
  </si>
  <si>
    <t>Standard Result</t>
  </si>
  <si>
    <t>Inputs</t>
  </si>
  <si>
    <t>Css_u</t>
  </si>
  <si>
    <t>Resistors</t>
  </si>
  <si>
    <t>inputs</t>
  </si>
  <si>
    <t>Rs</t>
  </si>
  <si>
    <t xml:space="preserve">                </t>
  </si>
  <si>
    <t>Cc1</t>
  </si>
  <si>
    <t>Cc2</t>
  </si>
  <si>
    <t>Csby</t>
  </si>
  <si>
    <t>Rc1</t>
  </si>
  <si>
    <t>Other Input Variables</t>
  </si>
  <si>
    <r>
      <t>R</t>
    </r>
    <r>
      <rPr>
        <vertAlign val="subscript"/>
        <sz val="10"/>
        <rFont val="Arial"/>
        <family val="2"/>
      </rPr>
      <t>PG</t>
    </r>
  </si>
  <si>
    <r>
      <t>R</t>
    </r>
    <r>
      <rPr>
        <vertAlign val="subscript"/>
        <sz val="10"/>
        <rFont val="Arial"/>
        <family val="2"/>
      </rPr>
      <t>SB</t>
    </r>
  </si>
  <si>
    <t>Rfets</t>
  </si>
  <si>
    <t>cap loss eq res</t>
  </si>
  <si>
    <t>Fet loss eq res</t>
  </si>
  <si>
    <t>Diode loss eq res</t>
  </si>
  <si>
    <t>Sw cap</t>
  </si>
  <si>
    <t xml:space="preserve"> </t>
  </si>
  <si>
    <t>Rc1ea</t>
  </si>
  <si>
    <t>Frequency of Ringing</t>
  </si>
  <si>
    <t>MHz</t>
  </si>
  <si>
    <t>STD UNITS</t>
  </si>
  <si>
    <t>UNITS</t>
  </si>
  <si>
    <t>SW capacitance</t>
  </si>
  <si>
    <t>Csnub</t>
  </si>
  <si>
    <t>Lpar</t>
  </si>
  <si>
    <t>nH</t>
  </si>
  <si>
    <t>Rsnub</t>
  </si>
  <si>
    <t>Rset</t>
  </si>
  <si>
    <t>Blank out</t>
  </si>
  <si>
    <t>Input from user =</t>
  </si>
  <si>
    <t>Constant</t>
  </si>
  <si>
    <t>Step 8: Efficiency</t>
  </si>
  <si>
    <t>Vripple</t>
  </si>
  <si>
    <t>VfdSky</t>
  </si>
  <si>
    <t>QrrSky</t>
  </si>
  <si>
    <t>Ireverse</t>
  </si>
  <si>
    <t>Diode Forward Voltage</t>
  </si>
  <si>
    <t>Diode Reverse Recovery Charge</t>
  </si>
  <si>
    <t>Reverse Leakage Current</t>
  </si>
  <si>
    <t>External Diode</t>
  </si>
  <si>
    <t xml:space="preserve">Dead Time Loss </t>
  </si>
  <si>
    <t>VsdTop</t>
  </si>
  <si>
    <t>Switching Current Diss</t>
  </si>
  <si>
    <t>°C/W</t>
  </si>
  <si>
    <t>SCHEMATIC LABELS</t>
  </si>
  <si>
    <t>OUTPUT CURRENT</t>
  </si>
  <si>
    <t>Dmax</t>
  </si>
  <si>
    <t>Ipp</t>
  </si>
  <si>
    <t>Current (switching)</t>
  </si>
  <si>
    <t>Qrr Current</t>
  </si>
  <si>
    <t>Diode Current</t>
  </si>
  <si>
    <t>Std Units</t>
  </si>
  <si>
    <t>Total Application Switching IQ</t>
  </si>
  <si>
    <t xml:space="preserve">VIN </t>
  </si>
  <si>
    <t>CBOOT</t>
  </si>
  <si>
    <t>VDD</t>
  </si>
  <si>
    <t>SYNC</t>
  </si>
  <si>
    <t>EN</t>
  </si>
  <si>
    <t>PGOOD</t>
  </si>
  <si>
    <t>SS/TRACK</t>
  </si>
  <si>
    <t>FADJ</t>
  </si>
  <si>
    <t>GND</t>
  </si>
  <si>
    <t>COMP</t>
  </si>
  <si>
    <t>FB</t>
  </si>
  <si>
    <t>CS-</t>
  </si>
  <si>
    <t>CS+</t>
  </si>
  <si>
    <t>LG</t>
  </si>
  <si>
    <t>SW</t>
  </si>
  <si>
    <t>HG</t>
  </si>
  <si>
    <t>CIN</t>
  </si>
  <si>
    <t>DCR at hot</t>
  </si>
  <si>
    <t>Temp</t>
  </si>
  <si>
    <t>µH</t>
  </si>
  <si>
    <t>µF</t>
  </si>
  <si>
    <t>Cinmin</t>
  </si>
  <si>
    <t>Vinripple1</t>
  </si>
  <si>
    <t>CinEsrMax</t>
  </si>
  <si>
    <t>Vinripple2</t>
  </si>
  <si>
    <t>Output =</t>
  </si>
  <si>
    <t>OTP</t>
  </si>
  <si>
    <t>RS</t>
  </si>
  <si>
    <t>Bottom Schottky</t>
  </si>
  <si>
    <t>Step 2: Filter Inductor</t>
  </si>
  <si>
    <t>Step 1: Operating Specifications</t>
  </si>
  <si>
    <t>°C</t>
  </si>
  <si>
    <t>Std Values</t>
  </si>
  <si>
    <t>Compensation Components</t>
  </si>
  <si>
    <t>Actual P/Z Frequencies</t>
  </si>
  <si>
    <r>
      <t>A</t>
    </r>
    <r>
      <rPr>
        <vertAlign val="subscript"/>
        <sz val="10"/>
        <rFont val="Arial"/>
        <family val="2"/>
      </rPr>
      <t>pk-pk</t>
    </r>
  </si>
  <si>
    <r>
      <t>mV</t>
    </r>
    <r>
      <rPr>
        <b/>
        <vertAlign val="subscript"/>
        <sz val="10"/>
        <rFont val="Arial"/>
        <family val="2"/>
      </rPr>
      <t>pk-pk</t>
    </r>
  </si>
  <si>
    <r>
      <t>C</t>
    </r>
    <r>
      <rPr>
        <b/>
        <vertAlign val="subscript"/>
        <sz val="10"/>
        <rFont val="Arial"/>
        <family val="2"/>
      </rPr>
      <t>C1</t>
    </r>
  </si>
  <si>
    <r>
      <t>C</t>
    </r>
    <r>
      <rPr>
        <b/>
        <vertAlign val="subscript"/>
        <sz val="10"/>
        <rFont val="Arial"/>
        <family val="2"/>
      </rPr>
      <t>C2</t>
    </r>
  </si>
  <si>
    <r>
      <t>mV</t>
    </r>
    <r>
      <rPr>
        <vertAlign val="subscript"/>
        <sz val="10"/>
        <rFont val="Arial"/>
        <family val="2"/>
      </rPr>
      <t>pk-pk</t>
    </r>
  </si>
  <si>
    <t>Efficiency / Power Loss Analyzer</t>
  </si>
  <si>
    <t>Step 7: Compensation Design</t>
  </si>
  <si>
    <t>Calculated /</t>
  </si>
  <si>
    <t xml:space="preserve">Recommended Filter Inductance </t>
  </si>
  <si>
    <t xml:space="preserve">Inductor DCR </t>
  </si>
  <si>
    <t xml:space="preserve">Maximum Permitted ESR </t>
  </si>
  <si>
    <t xml:space="preserve">Output Capacitor ESR </t>
  </si>
  <si>
    <t xml:space="preserve">Input Capacitor ESR </t>
  </si>
  <si>
    <t>About</t>
  </si>
  <si>
    <t>xx</t>
  </si>
  <si>
    <t>Max ESR before ripple exceeds Vripple1</t>
  </si>
  <si>
    <t>Chosen ESR</t>
  </si>
  <si>
    <t>Input capacitance series resistance (ESR)</t>
  </si>
  <si>
    <t xml:space="preserve">Desired Crossover Frequency </t>
  </si>
  <si>
    <r>
      <t>VIN</t>
    </r>
    <r>
      <rPr>
        <vertAlign val="subscript"/>
        <sz val="10"/>
        <rFont val="Arial"/>
        <family val="2"/>
      </rPr>
      <t>UVLO_ON</t>
    </r>
  </si>
  <si>
    <t>Rising UVLO/EN Threshold</t>
  </si>
  <si>
    <t>Falling UVLO/EN Threshold</t>
  </si>
  <si>
    <t>UVLO/EN Current Hysteresis</t>
  </si>
  <si>
    <t>kΩ</t>
  </si>
  <si>
    <r>
      <t>VIN</t>
    </r>
    <r>
      <rPr>
        <vertAlign val="subscript"/>
        <sz val="10"/>
        <rFont val="Arial"/>
        <family val="2"/>
      </rPr>
      <t>UVLO_ON_ACTUAL</t>
    </r>
  </si>
  <si>
    <r>
      <t>VIN</t>
    </r>
    <r>
      <rPr>
        <vertAlign val="subscript"/>
        <sz val="10"/>
        <rFont val="Arial"/>
        <family val="2"/>
      </rPr>
      <t>UVLO_OFF_ACTUAL</t>
    </r>
  </si>
  <si>
    <t>Size</t>
  </si>
  <si>
    <t>MFR</t>
  </si>
  <si>
    <t>Std</t>
  </si>
  <si>
    <t>See description</t>
  </si>
  <si>
    <t>TI</t>
  </si>
  <si>
    <t>0603</t>
  </si>
  <si>
    <r>
      <t>C</t>
    </r>
    <r>
      <rPr>
        <vertAlign val="subscript"/>
        <sz val="10"/>
        <rFont val="Arial"/>
        <family val="2"/>
      </rPr>
      <t>C1</t>
    </r>
  </si>
  <si>
    <r>
      <t>C</t>
    </r>
    <r>
      <rPr>
        <vertAlign val="subscript"/>
        <sz val="10"/>
        <rFont val="Arial"/>
        <family val="2"/>
      </rPr>
      <t>C2</t>
    </r>
  </si>
  <si>
    <r>
      <t>C</t>
    </r>
    <r>
      <rPr>
        <vertAlign val="subscript"/>
        <sz val="10"/>
        <rFont val="Arial"/>
        <family val="2"/>
      </rPr>
      <t>CS</t>
    </r>
  </si>
  <si>
    <r>
      <t>C</t>
    </r>
    <r>
      <rPr>
        <vertAlign val="subscript"/>
        <sz val="10"/>
        <rFont val="Arial"/>
        <family val="2"/>
      </rPr>
      <t>IN</t>
    </r>
  </si>
  <si>
    <r>
      <t>C</t>
    </r>
    <r>
      <rPr>
        <vertAlign val="subscript"/>
        <sz val="10"/>
        <rFont val="Arial"/>
        <family val="2"/>
      </rPr>
      <t>OUT</t>
    </r>
  </si>
  <si>
    <r>
      <t>C</t>
    </r>
    <r>
      <rPr>
        <vertAlign val="subscript"/>
        <sz val="10"/>
        <rFont val="Arial"/>
        <family val="2"/>
      </rPr>
      <t>SS</t>
    </r>
  </si>
  <si>
    <r>
      <t>C</t>
    </r>
    <r>
      <rPr>
        <vertAlign val="subscript"/>
        <sz val="10"/>
        <rFont val="Arial"/>
        <family val="2"/>
      </rPr>
      <t>VIN</t>
    </r>
  </si>
  <si>
    <t>Ref Des</t>
  </si>
  <si>
    <t>Count</t>
  </si>
  <si>
    <t>Various</t>
  </si>
  <si>
    <t>-</t>
  </si>
  <si>
    <r>
      <t>R</t>
    </r>
    <r>
      <rPr>
        <vertAlign val="subscript"/>
        <sz val="10"/>
        <rFont val="Arial"/>
        <family val="2"/>
      </rPr>
      <t>C1</t>
    </r>
  </si>
  <si>
    <r>
      <t>R</t>
    </r>
    <r>
      <rPr>
        <vertAlign val="subscript"/>
        <sz val="10"/>
        <rFont val="Arial"/>
        <family val="2"/>
      </rPr>
      <t>UV1</t>
    </r>
  </si>
  <si>
    <r>
      <t>R</t>
    </r>
    <r>
      <rPr>
        <vertAlign val="subscript"/>
        <sz val="10"/>
        <rFont val="Arial"/>
        <family val="2"/>
      </rPr>
      <t>UV2</t>
    </r>
  </si>
  <si>
    <r>
      <t>R</t>
    </r>
    <r>
      <rPr>
        <vertAlign val="subscript"/>
        <sz val="10"/>
        <rFont val="Arial"/>
        <family val="2"/>
      </rPr>
      <t>VIN</t>
    </r>
  </si>
  <si>
    <r>
      <t>R</t>
    </r>
    <r>
      <rPr>
        <vertAlign val="subscript"/>
        <sz val="10"/>
        <rFont val="Arial"/>
        <family val="2"/>
      </rPr>
      <t>S</t>
    </r>
  </si>
  <si>
    <r>
      <t>R</t>
    </r>
    <r>
      <rPr>
        <vertAlign val="subscript"/>
        <sz val="10"/>
        <rFont val="Arial"/>
        <family val="2"/>
      </rPr>
      <t>PGOOD</t>
    </r>
  </si>
  <si>
    <r>
      <t>R</t>
    </r>
    <r>
      <rPr>
        <vertAlign val="subscript"/>
        <sz val="10"/>
        <rFont val="Arial"/>
        <family val="2"/>
      </rPr>
      <t>FB1</t>
    </r>
  </si>
  <si>
    <r>
      <t>R</t>
    </r>
    <r>
      <rPr>
        <vertAlign val="subscript"/>
        <sz val="10"/>
        <rFont val="Arial"/>
        <family val="2"/>
      </rPr>
      <t>FB2</t>
    </r>
  </si>
  <si>
    <r>
      <t>U</t>
    </r>
    <r>
      <rPr>
        <b/>
        <vertAlign val="subscript"/>
        <sz val="10"/>
        <rFont val="Arial"/>
        <family val="2"/>
      </rPr>
      <t>1</t>
    </r>
  </si>
  <si>
    <t>Rpgood</t>
  </si>
  <si>
    <t>20kΩ</t>
  </si>
  <si>
    <t>Ruv1</t>
  </si>
  <si>
    <t>Ruv2</t>
  </si>
  <si>
    <t># of input caps</t>
  </si>
  <si>
    <t>Capacitance per component (Cin)</t>
  </si>
  <si>
    <t>Capacitance per component (Cout)</t>
  </si>
  <si>
    <t># of output caps</t>
  </si>
  <si>
    <t>Input Voltage UVLO Off</t>
  </si>
  <si>
    <t>Ω</t>
  </si>
  <si>
    <r>
      <rPr>
        <b/>
        <u/>
        <sz val="10"/>
        <rFont val="Arial"/>
        <family val="2"/>
      </rPr>
      <t>NOTES</t>
    </r>
    <r>
      <rPr>
        <b/>
        <sz val="10"/>
        <rFont val="Arial"/>
        <family val="2"/>
      </rPr>
      <t>:</t>
    </r>
  </si>
  <si>
    <t>Series resistance due to FETs</t>
  </si>
  <si>
    <t>Output Resistance</t>
  </si>
  <si>
    <r>
      <t>On-State Resistance, R</t>
    </r>
    <r>
      <rPr>
        <b/>
        <vertAlign val="subscript"/>
        <sz val="10"/>
        <rFont val="Arial"/>
        <family val="2"/>
      </rPr>
      <t>DS(on)</t>
    </r>
    <r>
      <rPr>
        <b/>
        <sz val="10"/>
        <rFont val="Arial"/>
        <family val="2"/>
      </rPr>
      <t xml:space="preserve"> </t>
    </r>
  </si>
  <si>
    <r>
      <t>Total Gate Charge, Q</t>
    </r>
    <r>
      <rPr>
        <b/>
        <vertAlign val="subscript"/>
        <sz val="10"/>
        <rFont val="Arial"/>
        <family val="2"/>
      </rPr>
      <t>G</t>
    </r>
    <r>
      <rPr>
        <b/>
        <sz val="10"/>
        <rFont val="Arial"/>
        <family val="2"/>
      </rPr>
      <t xml:space="preserve"> </t>
    </r>
  </si>
  <si>
    <r>
      <t>Gate-Drain Charge, Q</t>
    </r>
    <r>
      <rPr>
        <b/>
        <vertAlign val="subscript"/>
        <sz val="10"/>
        <rFont val="Arial"/>
        <family val="2"/>
      </rPr>
      <t>GD</t>
    </r>
    <r>
      <rPr>
        <b/>
        <sz val="10"/>
        <rFont val="Arial"/>
        <family val="2"/>
      </rPr>
      <t xml:space="preserve"> </t>
    </r>
  </si>
  <si>
    <r>
      <t>Gate-Source Charge, Q</t>
    </r>
    <r>
      <rPr>
        <b/>
        <vertAlign val="subscript"/>
        <sz val="10"/>
        <rFont val="Arial"/>
        <family val="2"/>
      </rPr>
      <t>GS</t>
    </r>
    <r>
      <rPr>
        <b/>
        <sz val="10"/>
        <rFont val="Arial"/>
        <family val="2"/>
      </rPr>
      <t xml:space="preserve"> </t>
    </r>
  </si>
  <si>
    <r>
      <t>Gate Resistance, R</t>
    </r>
    <r>
      <rPr>
        <b/>
        <vertAlign val="subscript"/>
        <sz val="10"/>
        <rFont val="Arial"/>
        <family val="2"/>
      </rPr>
      <t>G</t>
    </r>
    <r>
      <rPr>
        <b/>
        <sz val="10"/>
        <rFont val="Arial"/>
        <family val="2"/>
      </rPr>
      <t xml:space="preserve"> </t>
    </r>
  </si>
  <si>
    <r>
      <t>Transconductance, g</t>
    </r>
    <r>
      <rPr>
        <b/>
        <vertAlign val="subscript"/>
        <sz val="10"/>
        <rFont val="Arial"/>
        <family val="2"/>
      </rPr>
      <t>FS</t>
    </r>
    <r>
      <rPr>
        <b/>
        <sz val="10"/>
        <rFont val="Arial"/>
        <family val="2"/>
      </rPr>
      <t xml:space="preserve"> </t>
    </r>
  </si>
  <si>
    <r>
      <t>Thermal Resistance, θ</t>
    </r>
    <r>
      <rPr>
        <b/>
        <vertAlign val="subscript"/>
        <sz val="10"/>
        <rFont val="Arial"/>
        <family val="2"/>
      </rPr>
      <t>JA</t>
    </r>
    <r>
      <rPr>
        <b/>
        <sz val="10"/>
        <rFont val="Arial"/>
        <family val="2"/>
      </rPr>
      <t xml:space="preserve"> </t>
    </r>
  </si>
  <si>
    <t>%/°C</t>
  </si>
  <si>
    <t>Rt</t>
  </si>
  <si>
    <r>
      <t>Output Voltage, V</t>
    </r>
    <r>
      <rPr>
        <b/>
        <vertAlign val="subscript"/>
        <sz val="10"/>
        <color theme="1"/>
        <rFont val="Arial"/>
        <family val="2"/>
      </rPr>
      <t>OUT</t>
    </r>
    <r>
      <rPr>
        <b/>
        <sz val="10"/>
        <color theme="1"/>
        <rFont val="Arial"/>
        <family val="2"/>
      </rPr>
      <t xml:space="preserve"> </t>
    </r>
  </si>
  <si>
    <r>
      <t>Inductance, L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</t>
    </r>
  </si>
  <si>
    <r>
      <t>Frequency Set Resistor, R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</si>
  <si>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Output Capacitance, C</t>
    </r>
    <r>
      <rPr>
        <b/>
        <vertAlign val="subscript"/>
        <sz val="10"/>
        <rFont val="Arial"/>
        <family val="2"/>
      </rPr>
      <t>OUT</t>
    </r>
    <r>
      <rPr>
        <b/>
        <sz val="10"/>
        <rFont val="Arial"/>
        <family val="2"/>
      </rPr>
      <t xml:space="preserve"> </t>
    </r>
  </si>
  <si>
    <r>
      <t>Input Capacitance, C</t>
    </r>
    <r>
      <rPr>
        <b/>
        <vertAlign val="subscript"/>
        <sz val="10"/>
        <color theme="1"/>
        <rFont val="Arial"/>
        <family val="2"/>
      </rPr>
      <t>IN</t>
    </r>
    <r>
      <rPr>
        <b/>
        <sz val="10"/>
        <color theme="1"/>
        <rFont val="Arial"/>
        <family val="2"/>
      </rPr>
      <t xml:space="preserve"> </t>
    </r>
  </si>
  <si>
    <r>
      <t>Soft-Start Capacitance, C</t>
    </r>
    <r>
      <rPr>
        <vertAlign val="subscript"/>
        <sz val="10"/>
        <rFont val="Arial"/>
        <family val="2"/>
      </rPr>
      <t>SS</t>
    </r>
    <r>
      <rPr>
        <sz val="10"/>
        <rFont val="Arial"/>
        <family val="2"/>
      </rPr>
      <t xml:space="preserve"> </t>
    </r>
  </si>
  <si>
    <r>
      <t>Soft-Start Time, t</t>
    </r>
    <r>
      <rPr>
        <b/>
        <vertAlign val="subscript"/>
        <sz val="10"/>
        <color theme="1"/>
        <rFont val="Arial"/>
        <family val="2"/>
      </rPr>
      <t>SS</t>
    </r>
    <r>
      <rPr>
        <b/>
        <sz val="10"/>
        <color theme="1"/>
        <rFont val="Arial"/>
        <family val="2"/>
      </rPr>
      <t xml:space="preserve"> </t>
    </r>
  </si>
  <si>
    <r>
      <t>Upper Feedback Resistor, R</t>
    </r>
    <r>
      <rPr>
        <b/>
        <vertAlign val="subscript"/>
        <sz val="10"/>
        <rFont val="Arial"/>
        <family val="2"/>
      </rPr>
      <t xml:space="preserve">FB1 </t>
    </r>
  </si>
  <si>
    <r>
      <t>Lower Feedback Resistor, R</t>
    </r>
    <r>
      <rPr>
        <vertAlign val="subscript"/>
        <sz val="10"/>
        <rFont val="Arial"/>
        <family val="2"/>
      </rPr>
      <t>FB2</t>
    </r>
    <r>
      <rPr>
        <sz val="10"/>
        <rFont val="Arial"/>
        <family val="2"/>
      </rPr>
      <t xml:space="preserve"> </t>
    </r>
  </si>
  <si>
    <r>
      <t>V</t>
    </r>
    <r>
      <rPr>
        <vertAlign val="subscript"/>
        <sz val="10"/>
        <color theme="1"/>
        <rFont val="Arial"/>
        <family val="2"/>
      </rPr>
      <t>IN(min)</t>
    </r>
  </si>
  <si>
    <r>
      <t>V</t>
    </r>
    <r>
      <rPr>
        <vertAlign val="subscript"/>
        <sz val="10"/>
        <color theme="1"/>
        <rFont val="Arial"/>
        <family val="2"/>
      </rPr>
      <t>IN(nom)</t>
    </r>
  </si>
  <si>
    <r>
      <t>V</t>
    </r>
    <r>
      <rPr>
        <vertAlign val="subscript"/>
        <sz val="10"/>
        <color theme="1"/>
        <rFont val="Arial"/>
        <family val="2"/>
      </rPr>
      <t>IN(max)</t>
    </r>
  </si>
  <si>
    <t>VIN_max</t>
  </si>
  <si>
    <t>VIN_min</t>
  </si>
  <si>
    <t>Minimum input voltage</t>
  </si>
  <si>
    <t>Maximum input voltage</t>
  </si>
  <si>
    <t>Maximum Output Current</t>
  </si>
  <si>
    <t>Nominal Switching Frequency</t>
  </si>
  <si>
    <t>Voltage Hysteresis</t>
  </si>
  <si>
    <t>Falling UVLO/EN Current</t>
  </si>
  <si>
    <t>Rising UVLO/EN Current</t>
  </si>
  <si>
    <t>mV</t>
  </si>
  <si>
    <r>
      <t>Lower UVLO Resistor, R</t>
    </r>
    <r>
      <rPr>
        <vertAlign val="subscript"/>
        <sz val="10"/>
        <rFont val="Arial"/>
        <family val="2"/>
      </rPr>
      <t>UV2</t>
    </r>
  </si>
  <si>
    <r>
      <t>Upper UVLO Resistor, R</t>
    </r>
    <r>
      <rPr>
        <b/>
        <vertAlign val="subscript"/>
        <sz val="10"/>
        <rFont val="Arial"/>
        <family val="2"/>
      </rPr>
      <t>UV1</t>
    </r>
  </si>
  <si>
    <t>Required Input Voltage UVLO On</t>
  </si>
  <si>
    <r>
      <t>C</t>
    </r>
    <r>
      <rPr>
        <vertAlign val="subscript"/>
        <sz val="10"/>
        <rFont val="Arial"/>
        <family val="2"/>
      </rPr>
      <t>OUT</t>
    </r>
    <r>
      <rPr>
        <sz val="10"/>
        <rFont val="Arial"/>
        <family val="2"/>
      </rPr>
      <t xml:space="preserve"> ESR Zero Frequency </t>
    </r>
  </si>
  <si>
    <t>Load Pole Frequency</t>
  </si>
  <si>
    <t>Ideal Duty Cycle at VIN(nom)</t>
  </si>
  <si>
    <t>Ideal 1- Duty Cycle at VIN(nom)</t>
  </si>
  <si>
    <t>Don_Vinmin</t>
  </si>
  <si>
    <t>Don_Vinmax</t>
  </si>
  <si>
    <t>Lf_Vinmin</t>
  </si>
  <si>
    <t>Lf_Vinmax</t>
  </si>
  <si>
    <t>Lf</t>
  </si>
  <si>
    <t>Pout</t>
  </si>
  <si>
    <t>Iin_Vinmin</t>
  </si>
  <si>
    <t>Iin_Vinnom</t>
  </si>
  <si>
    <t>Iin_Vinmax</t>
  </si>
  <si>
    <t>Pin</t>
  </si>
  <si>
    <t>Iripple_Vinmin</t>
  </si>
  <si>
    <t>Iripple_Vinnom</t>
  </si>
  <si>
    <t>Iripple_Vinmax</t>
  </si>
  <si>
    <t>L_Vinmin</t>
  </si>
  <si>
    <t>L_Vinnom</t>
  </si>
  <si>
    <t>L_Vinmax</t>
  </si>
  <si>
    <t>Lf_Vinnom</t>
  </si>
  <si>
    <t>Lopt</t>
  </si>
  <si>
    <t>Don_Vinnom</t>
  </si>
  <si>
    <t>Don_Vinmin_2</t>
  </si>
  <si>
    <t>Don_Vinnom_2</t>
  </si>
  <si>
    <t>Don_Vinmax_2</t>
  </si>
  <si>
    <t>% Ripple Current</t>
  </si>
  <si>
    <t>Iin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</si>
  <si>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as a %</t>
    </r>
    <r>
      <rPr>
        <sz val="10"/>
        <rFont val="Arial"/>
        <family val="2"/>
      </rPr>
      <t xml:space="preserve"> at V</t>
    </r>
    <r>
      <rPr>
        <vertAlign val="subscript"/>
        <sz val="10"/>
        <rFont val="Arial"/>
        <family val="2"/>
      </rPr>
      <t>IN(min)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</si>
  <si>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as a %</t>
    </r>
    <r>
      <rPr>
        <sz val="10"/>
        <rFont val="Arial"/>
        <family val="2"/>
      </rPr>
      <t xml:space="preserve"> at V</t>
    </r>
    <r>
      <rPr>
        <vertAlign val="subscript"/>
        <sz val="10"/>
        <rFont val="Arial"/>
        <family val="2"/>
      </rPr>
      <t>IN(nom)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</si>
  <si>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as a %</t>
    </r>
    <r>
      <rPr>
        <sz val="10"/>
        <rFont val="Arial"/>
        <family val="2"/>
      </rPr>
      <t xml:space="preserve"> at V</t>
    </r>
    <r>
      <rPr>
        <vertAlign val="subscript"/>
        <sz val="10"/>
        <rFont val="Arial"/>
        <family val="2"/>
      </rPr>
      <t>IN(max)</t>
    </r>
  </si>
  <si>
    <t>Recommended SLOPE Capacitance</t>
  </si>
  <si>
    <r>
      <t>Sense Resistance, R</t>
    </r>
    <r>
      <rPr>
        <b/>
        <vertAlign val="subscript"/>
        <sz val="10"/>
        <color theme="1"/>
        <rFont val="Arial"/>
        <family val="2"/>
      </rPr>
      <t>S</t>
    </r>
  </si>
  <si>
    <t>Step 6: Soft-start, Dither, UVLO</t>
  </si>
  <si>
    <t>Recommended Sense Resistance</t>
  </si>
  <si>
    <r>
      <t>SLOPE Capacitance, C</t>
    </r>
    <r>
      <rPr>
        <b/>
        <vertAlign val="subscript"/>
        <sz val="10"/>
        <color theme="1"/>
        <rFont val="Arial"/>
        <family val="2"/>
      </rPr>
      <t>SLOPE</t>
    </r>
  </si>
  <si>
    <t>Buck CS threshold</t>
  </si>
  <si>
    <t>Boost CS Threshold</t>
  </si>
  <si>
    <t>Ilimit_DC</t>
  </si>
  <si>
    <t>Max inductor ripple current</t>
  </si>
  <si>
    <t>Calculate input power assuming 90% efficiency</t>
  </si>
  <si>
    <t>Output power</t>
  </si>
  <si>
    <t>Input currents at min, nom, max Vin</t>
  </si>
  <si>
    <t>Frequency Set Resistor</t>
  </si>
  <si>
    <t>Rs_ideal</t>
  </si>
  <si>
    <t>or</t>
  </si>
  <si>
    <t>Ilimit_inductor_Vinmin</t>
  </si>
  <si>
    <t>Ilimit_inductor_Vinmax</t>
  </si>
  <si>
    <t>Ilimit_inductor_Vinnom</t>
  </si>
  <si>
    <t>At Iout = Ilimit_DC:</t>
  </si>
  <si>
    <t>Selected (starndard value) current limit sense resistor</t>
  </si>
  <si>
    <t>Cslope_ideal</t>
  </si>
  <si>
    <t>mΩ</t>
  </si>
  <si>
    <t>Cslope</t>
  </si>
  <si>
    <t>Cslope_recommended</t>
  </si>
  <si>
    <t>Cslope_selected</t>
  </si>
  <si>
    <t>V/s</t>
  </si>
  <si>
    <t>at VIN_min</t>
  </si>
  <si>
    <t>at VIN_nom</t>
  </si>
  <si>
    <t>at VIN_max</t>
  </si>
  <si>
    <t>Islope_fixed</t>
  </si>
  <si>
    <t>SLOPE comp dv/dt = I_slope_total/Cslope</t>
  </si>
  <si>
    <t xml:space="preserve">BUCK </t>
  </si>
  <si>
    <t>BOOST</t>
  </si>
  <si>
    <t>I_valley BUCK</t>
  </si>
  <si>
    <t>I_peak BOOST</t>
  </si>
  <si>
    <t>Required Constant Current Loop Setpoint</t>
  </si>
  <si>
    <t>Current Limit Threshold</t>
  </si>
  <si>
    <t>Shunt Resistor in Output Leg</t>
  </si>
  <si>
    <t>Rshunt</t>
  </si>
  <si>
    <t>TBD</t>
  </si>
  <si>
    <t>Output Cap RMS current</t>
  </si>
  <si>
    <t>Icoutrms_VINmin</t>
  </si>
  <si>
    <t>Icoutrms_VINnom</t>
  </si>
  <si>
    <t>Icoutrms_VINmax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</si>
  <si>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V_SLOPEcomp at Vinmin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</si>
  <si>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V_SLOPEcomp at Vinnom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</si>
  <si>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V_SLOPEcomp at Vinmax</t>
    </r>
  </si>
  <si>
    <t>Chosen Output Capacitance</t>
  </si>
  <si>
    <t>Cdither</t>
  </si>
  <si>
    <t>Cdither_calculated</t>
  </si>
  <si>
    <t>Cdither_stdvalue</t>
  </si>
  <si>
    <r>
      <t>R</t>
    </r>
    <r>
      <rPr>
        <b/>
        <vertAlign val="subscript"/>
        <sz val="10"/>
        <rFont val="Arial"/>
        <family val="2"/>
      </rPr>
      <t>C</t>
    </r>
  </si>
  <si>
    <t>Boost RHP Zero Frequency</t>
  </si>
  <si>
    <t>Frhp</t>
  </si>
  <si>
    <t>Rout</t>
  </si>
  <si>
    <t>Load resistance</t>
  </si>
  <si>
    <r>
      <t xml:space="preserve">Chosen Compensation Components from the </t>
    </r>
    <r>
      <rPr>
        <b/>
        <u/>
        <sz val="10"/>
        <color indexed="10"/>
        <rFont val="Arial"/>
        <family val="2"/>
      </rPr>
      <t>standard value sheet</t>
    </r>
  </si>
  <si>
    <t>Modulator</t>
  </si>
  <si>
    <t>Total System</t>
  </si>
  <si>
    <t>Afb1</t>
  </si>
  <si>
    <t>Acs</t>
  </si>
  <si>
    <t>z1</t>
  </si>
  <si>
    <t>p3</t>
  </si>
  <si>
    <t>Adc</t>
  </si>
  <si>
    <t>z2</t>
  </si>
  <si>
    <t>Am</t>
  </si>
  <si>
    <t>p1</t>
  </si>
  <si>
    <t>pterm1</t>
  </si>
  <si>
    <t>Crossover</t>
  </si>
  <si>
    <t>p2</t>
  </si>
  <si>
    <t>pterm2</t>
  </si>
  <si>
    <t>Phase Margin</t>
  </si>
  <si>
    <t>Aea</t>
  </si>
  <si>
    <t>radconv</t>
  </si>
  <si>
    <t>p4</t>
  </si>
  <si>
    <t>k</t>
  </si>
  <si>
    <t>gm</t>
  </si>
  <si>
    <t>Power Stage</t>
  </si>
  <si>
    <t>Error Amplifier</t>
  </si>
  <si>
    <t>Sampling Double Pole</t>
  </si>
  <si>
    <t>System Response</t>
  </si>
  <si>
    <t>ERROR AMP Response</t>
  </si>
  <si>
    <t>PLANT Response</t>
  </si>
  <si>
    <t>Gain(V/V)</t>
  </si>
  <si>
    <t>Phase(rad)</t>
  </si>
  <si>
    <t>Gain (dB)</t>
  </si>
  <si>
    <t>Phase Margin (°)</t>
  </si>
  <si>
    <t>Phase (°)</t>
  </si>
  <si>
    <t>Fsquare</t>
  </si>
  <si>
    <t>Gain(dB)</t>
  </si>
  <si>
    <t>Phase(Deg)</t>
  </si>
  <si>
    <t>Pole/Zero Locations for Chart</t>
  </si>
  <si>
    <t>crossover</t>
  </si>
  <si>
    <t>System</t>
  </si>
  <si>
    <t>Plant</t>
  </si>
  <si>
    <t>Ri</t>
  </si>
  <si>
    <t>Error Amp Transconductance</t>
  </si>
  <si>
    <t>Se</t>
  </si>
  <si>
    <t>A/s</t>
  </si>
  <si>
    <t>Sn</t>
  </si>
  <si>
    <t>On-time Slope</t>
  </si>
  <si>
    <t>mc</t>
  </si>
  <si>
    <t>GBW</t>
  </si>
  <si>
    <t>Cbw</t>
  </si>
  <si>
    <t>RoEA</t>
  </si>
  <si>
    <t>AEA</t>
  </si>
  <si>
    <t>Afb</t>
  </si>
  <si>
    <t>p</t>
  </si>
  <si>
    <t xml:space="preserve">Error Amp Pole Frequency </t>
  </si>
  <si>
    <t>Cslope_u</t>
  </si>
  <si>
    <t>This component will largely determine the crossover frequency</t>
  </si>
  <si>
    <t>This along with Rcea1 places a pole at the output cap ESR zero</t>
  </si>
  <si>
    <t>1/(Pi*(k-0.5))</t>
  </si>
  <si>
    <t>Acs = 1/Ri</t>
  </si>
  <si>
    <t>Current Sense effective resistance = shunt resistor Rs * CS amp gain</t>
  </si>
  <si>
    <t>Fp_EA</t>
  </si>
  <si>
    <t>Fp_HF</t>
  </si>
  <si>
    <t>mc*D</t>
  </si>
  <si>
    <t>Off-time Slope</t>
  </si>
  <si>
    <t>Sf</t>
  </si>
  <si>
    <t>mc = 1 + Se/Sf for valley current-mode buck</t>
  </si>
  <si>
    <t>gm_slopecomp</t>
  </si>
  <si>
    <t>adaptive slope comp gm amplifier transconductance</t>
  </si>
  <si>
    <t>CS Amp Gain</t>
  </si>
  <si>
    <t>Slope Comp Slope - referred to inductor current</t>
  </si>
  <si>
    <t>Se_int</t>
  </si>
  <si>
    <t>Step 3: Sense Resistors, Slope Comp, Current Limit</t>
  </si>
  <si>
    <t>Q = 2/Pi = 0.636 gives ideal one-cycle damping</t>
  </si>
  <si>
    <t>Error Amp HF pole cancels zero related to Output Cap ESR</t>
  </si>
  <si>
    <t>EXCEL Variables Names/Calculations</t>
  </si>
  <si>
    <t>Resulting Pole/Zero Locations</t>
  </si>
  <si>
    <t>Sn_int</t>
  </si>
  <si>
    <t>Sf_int</t>
  </si>
  <si>
    <t>Slope Comp Slope - referred to IC</t>
  </si>
  <si>
    <t>etc</t>
  </si>
  <si>
    <t>Isc_const</t>
  </si>
  <si>
    <t>°</t>
  </si>
  <si>
    <t>Std Value Lower Feedback Resistance</t>
  </si>
  <si>
    <t>Lower Feedback Resistance</t>
  </si>
  <si>
    <t>Upper Feedback Resistance - chosen by user</t>
  </si>
  <si>
    <t>Drain-Source Resistance of Pullup High-side FET Driver</t>
  </si>
  <si>
    <t>Drain-Source Resistance of Pulldown High-side FET Driver</t>
  </si>
  <si>
    <t>Drain-Source Resistance of Pullup Low-side FET Driver</t>
  </si>
  <si>
    <t>Drain-Source Resistance of Pulldown Low-side FET Driver</t>
  </si>
  <si>
    <t>Drain-Source Resistance Temp Co</t>
  </si>
  <si>
    <t>Diode Forward Voltage of Low-side FET Body Diode</t>
  </si>
  <si>
    <t>slope comp constant current source</t>
  </si>
  <si>
    <t>Duty cycles adjusted for DCR and shunt voltage drops</t>
  </si>
  <si>
    <t>Desired Crossover Frequency</t>
  </si>
  <si>
    <t>Cout ESR zero frequency</t>
  </si>
  <si>
    <t>Boost RHP zero frequency (if applicable)</t>
  </si>
  <si>
    <t>Error Amp LF pole -- related to amplifier ouptut resistance and comp cap</t>
  </si>
  <si>
    <t>Buck dominant pole frequency -- note slope comp influence</t>
  </si>
  <si>
    <t>Boost dominant pole frequency -- need to add slope comp component</t>
  </si>
  <si>
    <t>Fp_load_boost</t>
  </si>
  <si>
    <t>Fp_load_buck</t>
  </si>
  <si>
    <t>IC Power Disipation</t>
  </si>
  <si>
    <t>Iteration</t>
  </si>
  <si>
    <t>Output Ripple Spec (pk-pk)</t>
  </si>
  <si>
    <t>Rmode</t>
  </si>
  <si>
    <t>zero-order sample and hold effects of current-mode control modeled as pole at Fsw/2</t>
  </si>
  <si>
    <t>F_mod</t>
  </si>
  <si>
    <t>Am_buck</t>
  </si>
  <si>
    <t>mc_boost</t>
  </si>
  <si>
    <t>k_boost</t>
  </si>
  <si>
    <t>Am_boost</t>
  </si>
  <si>
    <t>DC Gain is Adc = AEA*Afb*Am</t>
  </si>
  <si>
    <t>A/V</t>
  </si>
  <si>
    <t>Power Stage Poles/Zeros</t>
  </si>
  <si>
    <t>Complex Pole Pair</t>
  </si>
  <si>
    <t>Divider Network &amp; EA Poles/Zeros</t>
  </si>
  <si>
    <t>mc_buck</t>
  </si>
  <si>
    <t>k_buck</t>
  </si>
  <si>
    <t>mV/μs</t>
  </si>
  <si>
    <t>mc*(1-D)</t>
  </si>
  <si>
    <t>Error Amp (EA)</t>
  </si>
  <si>
    <t>Boost modulator gain -- need to adjust for adaptive slope comp</t>
  </si>
  <si>
    <r>
      <t>need to include R</t>
    </r>
    <r>
      <rPr>
        <vertAlign val="subscript"/>
        <sz val="10"/>
        <color rgb="FFFF0000"/>
        <rFont val="Arial"/>
        <family val="2"/>
      </rPr>
      <t>DS(on)</t>
    </r>
    <r>
      <rPr>
        <sz val="10"/>
        <color rgb="FFFF0000"/>
        <rFont val="Arial"/>
        <family val="2"/>
      </rPr>
      <t xml:space="preserve"> later</t>
    </r>
  </si>
  <si>
    <t>Shunt</t>
  </si>
  <si>
    <t>BOOST current limit - peak</t>
  </si>
  <si>
    <t>Iout_OCP_Vinmin</t>
  </si>
  <si>
    <t>Iout_OCP_Vinmax</t>
  </si>
  <si>
    <t>ILpeak_OCP_Vinmin</t>
  </si>
  <si>
    <t>ILpeak_OCP_Vinnom</t>
  </si>
  <si>
    <t>ILpeak_OCP_Vinmax</t>
  </si>
  <si>
    <t>Peak inductor currents in OCP</t>
  </si>
  <si>
    <r>
      <t>Current limit setpoints (i.e. I</t>
    </r>
    <r>
      <rPr>
        <vertAlign val="subscript"/>
        <sz val="10"/>
        <rFont val="Arial"/>
        <family val="2"/>
      </rPr>
      <t>OUT</t>
    </r>
    <r>
      <rPr>
        <sz val="10"/>
        <rFont val="Arial"/>
        <family val="2"/>
      </rPr>
      <t>) after standard components are selected</t>
    </r>
  </si>
  <si>
    <t>Output voltage ripple spec(pk-pk)</t>
  </si>
  <si>
    <t>Vout ripple spec at Vin(nom)</t>
  </si>
  <si>
    <t xml:space="preserve">Minimum Output Capacitance </t>
  </si>
  <si>
    <t>Load cap current during soft start</t>
  </si>
  <si>
    <t>Soft-start time</t>
  </si>
  <si>
    <t>zRHP</t>
  </si>
  <si>
    <t>p-dom</t>
  </si>
  <si>
    <t>p_dom</t>
  </si>
  <si>
    <t>z_ESR</t>
  </si>
  <si>
    <t>z_RHP</t>
  </si>
  <si>
    <t>uses Vin(nom)!!</t>
  </si>
  <si>
    <t>50ns for LM5175</t>
  </si>
  <si>
    <t>Low-side MOSFET/Diode</t>
  </si>
  <si>
    <t>EA pole, p2</t>
  </si>
  <si>
    <t>EA pole, p1</t>
  </si>
  <si>
    <t>EA zero, z1</t>
  </si>
  <si>
    <t>Fp_dominant</t>
  </si>
  <si>
    <t>p_sampling</t>
  </si>
  <si>
    <t>ESR zero</t>
  </si>
  <si>
    <t>EA pole</t>
  </si>
  <si>
    <t>EA zero</t>
  </si>
  <si>
    <t>RHP zero</t>
  </si>
  <si>
    <t>This zero is set at or close to the dominant load pole</t>
  </si>
  <si>
    <t>Freq (Hz)</t>
  </si>
  <si>
    <t>scaling factor to calculate Rcomp - buck</t>
  </si>
  <si>
    <t>scaling factor to calculate Rcomp - boost</t>
  </si>
  <si>
    <r>
      <t>Hz  (F</t>
    </r>
    <r>
      <rPr>
        <vertAlign val="subscript"/>
        <sz val="10"/>
        <rFont val="Arial"/>
        <family val="2"/>
      </rPr>
      <t>PEA</t>
    </r>
    <r>
      <rPr>
        <sz val="10"/>
        <rFont val="Arial"/>
        <family val="2"/>
      </rPr>
      <t>)</t>
    </r>
  </si>
  <si>
    <t>KM</t>
  </si>
  <si>
    <t>KD</t>
  </si>
  <si>
    <t>Se_fixed</t>
  </si>
  <si>
    <t>Se_proportional</t>
  </si>
  <si>
    <t>Se_ext</t>
  </si>
  <si>
    <t>Buck modulator gain</t>
  </si>
  <si>
    <t>Feedback gain from Vout to FB</t>
  </si>
  <si>
    <t>V_sc_fixed</t>
  </si>
  <si>
    <t>V_sc_proportional</t>
  </si>
  <si>
    <t>V_sc_total</t>
  </si>
  <si>
    <t>Slope comp slope - internal</t>
  </si>
  <si>
    <t>EA DC gain = gm*RoEA</t>
  </si>
  <si>
    <t>EA output resistance</t>
  </si>
  <si>
    <t>EA effective bandwidth limiting capacitance = gm/(2*Pi*GBW)</t>
  </si>
  <si>
    <t>EA gain-bandwidth product</t>
  </si>
  <si>
    <t>mc = 1 + Se/Sn for peak current-mode boost</t>
  </si>
  <si>
    <t>K_SL</t>
  </si>
  <si>
    <t>Fixed slope comp amplitude over full period</t>
  </si>
  <si>
    <t>Proportional slope comp amplitude over full period</t>
  </si>
  <si>
    <t>Total slope comp amplitude over full period</t>
  </si>
  <si>
    <t>Proportional slope comp factor, where Vslope= Abs(Vin-Vout)*KSL</t>
  </si>
  <si>
    <t>KSL = gm/(Cslope*Fsw)</t>
  </si>
  <si>
    <t>K_1</t>
  </si>
  <si>
    <t>Take the buck or boost parameter as appropriate</t>
  </si>
  <si>
    <t>2*Pi*Ri/gm -- scaling factor to calculate Rcomp given desired buck crossover frequency</t>
  </si>
  <si>
    <t>2*Pi*Ri/gm -- scaling factor to calculate Rcomp given desired boost crossover frequency</t>
  </si>
  <si>
    <t>Diode/FET</t>
  </si>
  <si>
    <t>High Efficiency Synchronous Buck-Boost Regulator BOM</t>
  </si>
  <si>
    <t>Iout_OCP_Vinnom</t>
  </si>
  <si>
    <t>IL_peak_OCP</t>
  </si>
  <si>
    <t>Peak inductor current over the full input range</t>
  </si>
  <si>
    <r>
      <t>C</t>
    </r>
    <r>
      <rPr>
        <vertAlign val="subscript"/>
        <sz val="10"/>
        <rFont val="Arial"/>
        <family val="2"/>
      </rPr>
      <t>SLOPE</t>
    </r>
  </si>
  <si>
    <r>
      <t>L</t>
    </r>
    <r>
      <rPr>
        <vertAlign val="subscript"/>
        <sz val="10"/>
        <rFont val="Arial"/>
        <family val="2"/>
      </rPr>
      <t>F</t>
    </r>
  </si>
  <si>
    <r>
      <t>R</t>
    </r>
    <r>
      <rPr>
        <vertAlign val="subscript"/>
        <sz val="10"/>
        <rFont val="Arial"/>
        <family val="2"/>
      </rPr>
      <t>CS</t>
    </r>
    <r>
      <rPr>
        <sz val="10"/>
        <rFont val="Arial"/>
        <family val="2"/>
      </rPr>
      <t>, R</t>
    </r>
    <r>
      <rPr>
        <vertAlign val="subscript"/>
        <sz val="10"/>
        <rFont val="Arial"/>
        <family val="2"/>
      </rPr>
      <t>CSG</t>
    </r>
  </si>
  <si>
    <r>
      <t>R</t>
    </r>
    <r>
      <rPr>
        <vertAlign val="subscript"/>
        <sz val="10"/>
        <rFont val="Arial"/>
        <family val="2"/>
      </rPr>
      <t>T</t>
    </r>
  </si>
  <si>
    <t>** Effective input and output capacitances should be appropriately derated for applied voltage and temperature, particularly with ceramics **</t>
  </si>
  <si>
    <t>Schottky Diode, 200mA</t>
  </si>
  <si>
    <r>
      <t>D</t>
    </r>
    <r>
      <rPr>
        <vertAlign val="subscript"/>
        <sz val="10"/>
        <rFont val="Arial"/>
        <family val="2"/>
      </rPr>
      <t>BOOT1</t>
    </r>
    <r>
      <rPr>
        <sz val="10"/>
        <rFont val="Arial"/>
        <family val="2"/>
      </rPr>
      <t>, D</t>
    </r>
    <r>
      <rPr>
        <vertAlign val="subscript"/>
        <sz val="10"/>
        <rFont val="Arial"/>
        <family val="2"/>
      </rPr>
      <t xml:space="preserve">BOOT2, </t>
    </r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 xml:space="preserve">VIN </t>
    </r>
  </si>
  <si>
    <r>
      <t>C</t>
    </r>
    <r>
      <rPr>
        <vertAlign val="subscript"/>
        <sz val="10"/>
        <rFont val="Arial"/>
        <family val="2"/>
      </rPr>
      <t>DITH</t>
    </r>
  </si>
  <si>
    <r>
      <t>C</t>
    </r>
    <r>
      <rPr>
        <vertAlign val="subscript"/>
        <sz val="10"/>
        <rFont val="Arial"/>
        <family val="2"/>
      </rPr>
      <t>BOOT1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BOOT2</t>
    </r>
  </si>
  <si>
    <r>
      <t>C</t>
    </r>
    <r>
      <rPr>
        <vertAlign val="subscript"/>
        <sz val="10"/>
        <rFont val="Arial"/>
        <family val="2"/>
      </rPr>
      <t>VCC</t>
    </r>
  </si>
  <si>
    <t>Step 3: OCP, Sense Resistors, Slope Comp</t>
  </si>
  <si>
    <t>** Inductor saturation current should be higher than the peak inductor current at the OCP setpoint for all input voltages and operating temperatures **</t>
  </si>
  <si>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>C</t>
    </r>
  </si>
  <si>
    <r>
      <t>m</t>
    </r>
    <r>
      <rPr>
        <sz val="10"/>
        <rFont val="Symbol"/>
        <family val="1"/>
        <charset val="2"/>
      </rPr>
      <t>W</t>
    </r>
  </si>
  <si>
    <t>μF</t>
  </si>
  <si>
    <t>Filter Inductance</t>
  </si>
  <si>
    <r>
      <t>Inductor DCR at 25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>C</t>
    </r>
  </si>
  <si>
    <r>
      <rPr>
        <sz val="10"/>
        <rFont val="Calibri"/>
        <family val="2"/>
      </rPr>
      <t>θ</t>
    </r>
    <r>
      <rPr>
        <vertAlign val="subscript"/>
        <sz val="10"/>
        <rFont val="Arial"/>
        <family val="2"/>
      </rPr>
      <t>JA</t>
    </r>
  </si>
  <si>
    <r>
      <t>θ</t>
    </r>
    <r>
      <rPr>
        <vertAlign val="subscript"/>
        <sz val="10"/>
        <rFont val="Arial"/>
        <family val="2"/>
      </rPr>
      <t>JABot</t>
    </r>
  </si>
  <si>
    <r>
      <t>θ</t>
    </r>
    <r>
      <rPr>
        <vertAlign val="subscript"/>
        <sz val="10"/>
        <rFont val="Arial"/>
        <family val="2"/>
      </rPr>
      <t>JATop</t>
    </r>
  </si>
  <si>
    <t>θJACtrl</t>
  </si>
  <si>
    <r>
      <t>Enter the values of your design and MOSFET datasheet specifications below. Note that thermal resistance (</t>
    </r>
    <r>
      <rPr>
        <b/>
        <sz val="10"/>
        <rFont val="Calibri"/>
        <family val="2"/>
      </rPr>
      <t>θ</t>
    </r>
    <r>
      <rPr>
        <b/>
        <vertAlign val="subscript"/>
        <sz val="10"/>
        <rFont val="Arial"/>
        <family val="2"/>
      </rPr>
      <t>JA</t>
    </r>
    <r>
      <rPr>
        <b/>
        <sz val="10"/>
        <rFont val="Arial"/>
        <family val="2"/>
      </rPr>
      <t>) will change when components are placed on the PCB</t>
    </r>
  </si>
  <si>
    <t>Subregulated VCC Voltage</t>
  </si>
  <si>
    <t>Vcc</t>
  </si>
  <si>
    <t>Junction-to-ambient thermal resistance of controller</t>
  </si>
  <si>
    <t>with 85mA current limit</t>
  </si>
  <si>
    <r>
      <rPr>
        <sz val="10"/>
        <rFont val="Calibri"/>
        <family val="2"/>
      </rPr>
      <t>θ</t>
    </r>
    <r>
      <rPr>
        <vertAlign val="subscript"/>
        <sz val="10"/>
        <rFont val="Arial"/>
        <family val="2"/>
      </rPr>
      <t>CA</t>
    </r>
  </si>
  <si>
    <t>Inductor Core to Ambient Thermal Resistance</t>
  </si>
  <si>
    <t>Input Capacitor ESR</t>
  </si>
  <si>
    <t>Inductor DCR Temp Co</t>
  </si>
  <si>
    <t>Output Capacitor ESR</t>
  </si>
  <si>
    <t>Output Capcitance</t>
  </si>
  <si>
    <t>Input Capacitance</t>
  </si>
  <si>
    <t>Filter Inductor</t>
  </si>
  <si>
    <t>Ripple Current pk-pk</t>
  </si>
  <si>
    <t>Cout ESR Loss</t>
  </si>
  <si>
    <t>Irms Cout</t>
  </si>
  <si>
    <t>Irms Cin</t>
  </si>
  <si>
    <t>Cin ESR Loss</t>
  </si>
  <si>
    <r>
      <t>R</t>
    </r>
    <r>
      <rPr>
        <b/>
        <vertAlign val="subscript"/>
        <sz val="10"/>
        <rFont val="Arial"/>
        <family val="2"/>
      </rPr>
      <t>DS(on)</t>
    </r>
    <r>
      <rPr>
        <b/>
        <sz val="10"/>
        <rFont val="Arial"/>
        <family val="2"/>
      </rPr>
      <t xml:space="preserve"> Loss</t>
    </r>
  </si>
  <si>
    <t>Controller IC Losses</t>
  </si>
  <si>
    <t>Total IC Loss</t>
  </si>
  <si>
    <t>Deadtime Loss</t>
  </si>
  <si>
    <r>
      <t>I</t>
    </r>
    <r>
      <rPr>
        <b/>
        <vertAlign val="subscript"/>
        <sz val="10"/>
        <rFont val="Arial"/>
        <family val="2"/>
      </rPr>
      <t>Q</t>
    </r>
    <r>
      <rPr>
        <b/>
        <sz val="10"/>
        <rFont val="Arial"/>
        <family val="2"/>
      </rPr>
      <t xml:space="preserve"> Loss</t>
    </r>
  </si>
  <si>
    <t>h</t>
  </si>
  <si>
    <r>
      <t xml:space="preserve">EFF, </t>
    </r>
    <r>
      <rPr>
        <b/>
        <sz val="10"/>
        <rFont val="Symbol"/>
        <family val="1"/>
        <charset val="2"/>
      </rPr>
      <t>h</t>
    </r>
  </si>
  <si>
    <t>QrrTop</t>
  </si>
  <si>
    <t>TrrTop</t>
  </si>
  <si>
    <t>RESULTS</t>
  </si>
  <si>
    <t>Consolidated Buck/Boost Efficiency &amp; Losses</t>
  </si>
  <si>
    <t>Output Rs</t>
  </si>
  <si>
    <t>Iout Shunt Loss</t>
  </si>
  <si>
    <t>Isense Shunt Loss</t>
  </si>
  <si>
    <t>Sense Rs</t>
  </si>
  <si>
    <t>Drain to Source Resistance of pulldown Bottom FET Driver</t>
  </si>
  <si>
    <t>Drain to Source Resistance of pullup Bottom FET Driver</t>
  </si>
  <si>
    <t>Drain to Source Resistance of pulldown Top FET Driver</t>
  </si>
  <si>
    <t>Drain to Source Resistance of pullup Top FET Driver</t>
  </si>
  <si>
    <t>Turn on of MOSFET -&gt; Rise time of current</t>
  </si>
  <si>
    <t>Turn off of MOSFET -&gt; Fall time of current</t>
  </si>
  <si>
    <t>External Schottky Diode (if applicable)</t>
  </si>
  <si>
    <r>
      <t>kHz (F</t>
    </r>
    <r>
      <rPr>
        <vertAlign val="subscript"/>
        <sz val="10"/>
        <rFont val="Arial"/>
        <family val="2"/>
      </rPr>
      <t>ZCOMP</t>
    </r>
    <r>
      <rPr>
        <sz val="10"/>
        <rFont val="Arial"/>
        <family val="2"/>
      </rPr>
      <t>)</t>
    </r>
  </si>
  <si>
    <r>
      <t>kHz (F</t>
    </r>
    <r>
      <rPr>
        <vertAlign val="subscript"/>
        <sz val="10"/>
        <rFont val="Arial"/>
        <family val="2"/>
      </rPr>
      <t>PCOMP</t>
    </r>
    <r>
      <rPr>
        <sz val="10"/>
        <rFont val="Arial"/>
        <family val="2"/>
      </rPr>
      <t>)</t>
    </r>
  </si>
  <si>
    <t>Reported Cinmin</t>
  </si>
  <si>
    <t>Reported Cout ESR max</t>
  </si>
  <si>
    <t>Reported Cin ESR max</t>
  </si>
  <si>
    <r>
      <t>Input Voltage - Min, V</t>
    </r>
    <r>
      <rPr>
        <b/>
        <vertAlign val="subscript"/>
        <sz val="10"/>
        <color theme="1"/>
        <rFont val="Arial"/>
        <family val="2"/>
      </rPr>
      <t>IN(min)</t>
    </r>
    <r>
      <rPr>
        <b/>
        <sz val="10"/>
        <color theme="1"/>
        <rFont val="Arial"/>
        <family val="2"/>
      </rPr>
      <t xml:space="preserve"> </t>
    </r>
  </si>
  <si>
    <r>
      <t>Input Voltage - Nom, V</t>
    </r>
    <r>
      <rPr>
        <b/>
        <vertAlign val="subscript"/>
        <sz val="10"/>
        <color theme="1"/>
        <rFont val="Arial"/>
        <family val="2"/>
      </rPr>
      <t>IN(nom)</t>
    </r>
  </si>
  <si>
    <r>
      <t>Input Voltage - Max, V</t>
    </r>
    <r>
      <rPr>
        <b/>
        <vertAlign val="subscript"/>
        <sz val="10"/>
        <color theme="1"/>
        <rFont val="Arial"/>
        <family val="2"/>
      </rPr>
      <t>IN(max)</t>
    </r>
  </si>
  <si>
    <r>
      <t>Pk-to-Pk Ripple Current at V</t>
    </r>
    <r>
      <rPr>
        <vertAlign val="subscript"/>
        <sz val="10"/>
        <rFont val="Arial"/>
        <family val="2"/>
      </rPr>
      <t>IN(min)</t>
    </r>
    <r>
      <rPr>
        <sz val="10"/>
        <rFont val="Arial"/>
        <family val="2"/>
      </rPr>
      <t xml:space="preserve">,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L1</t>
    </r>
  </si>
  <si>
    <r>
      <t>Pk-to-Pk Ripple Current at V</t>
    </r>
    <r>
      <rPr>
        <vertAlign val="subscript"/>
        <sz val="10"/>
        <rFont val="Arial"/>
        <family val="2"/>
      </rPr>
      <t>IN(nom)</t>
    </r>
    <r>
      <rPr>
        <sz val="10"/>
        <rFont val="Arial"/>
        <family val="2"/>
      </rPr>
      <t xml:space="preserve">,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L2</t>
    </r>
  </si>
  <si>
    <r>
      <t>Pk-to-Pk Ripple Current at V</t>
    </r>
    <r>
      <rPr>
        <vertAlign val="subscript"/>
        <sz val="10"/>
        <rFont val="Arial"/>
        <family val="2"/>
      </rPr>
      <t>IN(max)</t>
    </r>
    <r>
      <rPr>
        <sz val="10"/>
        <rFont val="Arial"/>
        <family val="2"/>
      </rPr>
      <t xml:space="preserve">,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L3</t>
    </r>
  </si>
  <si>
    <t>Buck CS threshold_min</t>
  </si>
  <si>
    <t>Boost CS Threshold_min</t>
  </si>
  <si>
    <t>BUCK current limit - valley</t>
  </si>
  <si>
    <t>Chosen OCP level - based on output current</t>
  </si>
  <si>
    <r>
      <t>I</t>
    </r>
    <r>
      <rPr>
        <vertAlign val="subscript"/>
        <sz val="10"/>
        <rFont val="Arial"/>
        <family val="2"/>
      </rPr>
      <t>OUT(typ)</t>
    </r>
    <r>
      <rPr>
        <sz val="10"/>
        <rFont val="Arial"/>
        <family val="2"/>
      </rPr>
      <t xml:space="preserve"> at OCP Inception:</t>
    </r>
  </si>
  <si>
    <t>Buck CS threshold_max</t>
  </si>
  <si>
    <t>Boost CS Threshold_max</t>
  </si>
  <si>
    <r>
      <t>Required I</t>
    </r>
    <r>
      <rPr>
        <b/>
        <vertAlign val="subscript"/>
        <sz val="10"/>
        <color theme="1"/>
        <rFont val="Arial"/>
        <family val="2"/>
      </rPr>
      <t>OCP(MIN)</t>
    </r>
    <r>
      <rPr>
        <b/>
        <sz val="10"/>
        <color theme="1"/>
        <rFont val="Arial"/>
        <family val="2"/>
      </rPr>
      <t xml:space="preserve"> Setpoint at V</t>
    </r>
    <r>
      <rPr>
        <b/>
        <vertAlign val="subscript"/>
        <sz val="10"/>
        <color theme="1"/>
        <rFont val="Arial"/>
        <family val="2"/>
      </rPr>
      <t>IN(nom)</t>
    </r>
  </si>
  <si>
    <t>RMS current in Rs</t>
  </si>
  <si>
    <t>Power diss in Rs</t>
  </si>
  <si>
    <t>Standard size based on Csideal slope capacitor</t>
  </si>
  <si>
    <t>Total Cin Loss</t>
  </si>
  <si>
    <t>Inductor Cu &amp; Core Loss</t>
  </si>
  <si>
    <t>Total Cout Loss</t>
  </si>
  <si>
    <t>Total Inductor Loss</t>
  </si>
  <si>
    <t>Gate Charge at VCC = 7.5V</t>
  </si>
  <si>
    <t>Boost hi-side</t>
  </si>
  <si>
    <t>Buck lo-side</t>
  </si>
  <si>
    <t>Anti-parallel Schottky Diode (optional)</t>
  </si>
  <si>
    <t>High- &amp; low-side boost MOSFETs</t>
  </si>
  <si>
    <t>High- &amp; low-side buck MOSFETs</t>
  </si>
  <si>
    <t>Drain-Source Resistances of Boost FETs</t>
  </si>
  <si>
    <t>Gate Charge Of Boost FETs</t>
  </si>
  <si>
    <t>Transconductance of Boost FETs</t>
  </si>
  <si>
    <t>Threshold Voltage Boost FETs</t>
  </si>
  <si>
    <t>Switch Point Voltage of Boost FETs</t>
  </si>
  <si>
    <t>Transconductance of Buck FETs</t>
  </si>
  <si>
    <t>Drain-Source Resistances of Buck FETs</t>
  </si>
  <si>
    <t>Threshold Voltage of Buck FETs</t>
  </si>
  <si>
    <t>Switch Point Voltage of Buck FETs</t>
  </si>
  <si>
    <r>
      <t>Q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, Q</t>
    </r>
    <r>
      <rPr>
        <vertAlign val="subscript"/>
        <sz val="10"/>
        <rFont val="Arial"/>
        <family val="2"/>
      </rPr>
      <t>2</t>
    </r>
  </si>
  <si>
    <r>
      <t>Q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, Q</t>
    </r>
    <r>
      <rPr>
        <vertAlign val="subscript"/>
        <sz val="10"/>
        <rFont val="Arial"/>
        <family val="2"/>
      </rPr>
      <t>4</t>
    </r>
  </si>
  <si>
    <t>Hi-side</t>
  </si>
  <si>
    <t>High-side FET</t>
  </si>
  <si>
    <t>Low-side FET</t>
  </si>
  <si>
    <t>Drain-Source Resistance of Low-side FET</t>
  </si>
  <si>
    <t xml:space="preserve">Drain-Source Resistance of Top FET </t>
  </si>
  <si>
    <t>Q3: high-side</t>
  </si>
  <si>
    <t>Q4: low-side</t>
  </si>
  <si>
    <t>Q1: high-side</t>
  </si>
  <si>
    <t>Q2: low-side</t>
  </si>
  <si>
    <t>Rdson</t>
  </si>
  <si>
    <t>Qgd</t>
  </si>
  <si>
    <t>Qgs</t>
  </si>
  <si>
    <t>Rgate</t>
  </si>
  <si>
    <t>Gfs</t>
  </si>
  <si>
    <t>Vth</t>
  </si>
  <si>
    <t>Vsp</t>
  </si>
  <si>
    <t>Diode Forward Voltage of MOSFET Body diode</t>
  </si>
  <si>
    <t>VsdBot - Boost</t>
  </si>
  <si>
    <t>Vsd - Buck</t>
  </si>
  <si>
    <r>
      <rPr>
        <i/>
        <sz val="10"/>
        <rFont val="Arial"/>
        <family val="2"/>
      </rPr>
      <t>Buck</t>
    </r>
    <r>
      <rPr>
        <sz val="10"/>
        <rFont val="Arial"/>
        <family val="2"/>
      </rPr>
      <t xml:space="preserve"> Leg</t>
    </r>
  </si>
  <si>
    <r>
      <t>Body Diode Forward Voltage, V</t>
    </r>
    <r>
      <rPr>
        <b/>
        <vertAlign val="subscript"/>
        <sz val="10"/>
        <rFont val="Arial"/>
        <family val="2"/>
      </rPr>
      <t>BD</t>
    </r>
    <r>
      <rPr>
        <b/>
        <sz val="10"/>
        <rFont val="Arial"/>
        <family val="2"/>
      </rPr>
      <t xml:space="preserve"> </t>
    </r>
  </si>
  <si>
    <r>
      <t>Schottky Rev Recovery Charge, Q</t>
    </r>
    <r>
      <rPr>
        <b/>
        <vertAlign val="subscript"/>
        <sz val="10"/>
        <rFont val="Arial"/>
        <family val="2"/>
      </rPr>
      <t>RRsch</t>
    </r>
    <r>
      <rPr>
        <b/>
        <sz val="10"/>
        <rFont val="Arial"/>
        <family val="2"/>
      </rPr>
      <t xml:space="preserve"> </t>
    </r>
  </si>
  <si>
    <r>
      <t>Body Diode Rev Recovery Charge, Q</t>
    </r>
    <r>
      <rPr>
        <b/>
        <vertAlign val="subscript"/>
        <sz val="10"/>
        <rFont val="Arial"/>
        <family val="2"/>
      </rPr>
      <t>RR</t>
    </r>
    <r>
      <rPr>
        <b/>
        <sz val="10"/>
        <rFont val="Arial"/>
        <family val="2"/>
      </rPr>
      <t xml:space="preserve"> </t>
    </r>
  </si>
  <si>
    <r>
      <t>Gate-Source Threshold Voltage, V</t>
    </r>
    <r>
      <rPr>
        <b/>
        <vertAlign val="subscript"/>
        <sz val="10"/>
        <rFont val="Arial"/>
        <family val="2"/>
      </rPr>
      <t>TH</t>
    </r>
    <r>
      <rPr>
        <b/>
        <sz val="10"/>
        <rFont val="Arial"/>
        <family val="2"/>
      </rPr>
      <t xml:space="preserve"> </t>
    </r>
  </si>
  <si>
    <r>
      <t>Schottky Fwd Voltage, V</t>
    </r>
    <r>
      <rPr>
        <b/>
        <vertAlign val="subscript"/>
        <sz val="10"/>
        <rFont val="Arial"/>
        <family val="2"/>
      </rPr>
      <t>FWDsch</t>
    </r>
    <r>
      <rPr>
        <b/>
        <sz val="10"/>
        <rFont val="Arial"/>
        <family val="2"/>
      </rPr>
      <t xml:space="preserve"> </t>
    </r>
  </si>
  <si>
    <r>
      <t>Output Leg Shunt Resistance, R</t>
    </r>
    <r>
      <rPr>
        <vertAlign val="subscript"/>
        <sz val="10"/>
        <rFont val="Arial"/>
        <family val="2"/>
      </rPr>
      <t>CS(out)</t>
    </r>
  </si>
  <si>
    <r>
      <t>R</t>
    </r>
    <r>
      <rPr>
        <vertAlign val="subscript"/>
        <sz val="10"/>
        <rFont val="Arial"/>
        <family val="2"/>
      </rPr>
      <t>CS(out)</t>
    </r>
  </si>
  <si>
    <r>
      <rPr>
        <b/>
        <i/>
        <u/>
        <sz val="10"/>
        <color rgb="FF0000FF"/>
        <rFont val="Arial"/>
        <family val="2"/>
      </rPr>
      <t>Boost</t>
    </r>
    <r>
      <rPr>
        <b/>
        <sz val="10"/>
        <color rgb="FF0000FF"/>
        <rFont val="Arial"/>
        <family val="2"/>
      </rPr>
      <t>-Leg Power MOSFETs (Q</t>
    </r>
    <r>
      <rPr>
        <b/>
        <vertAlign val="subscript"/>
        <sz val="10"/>
        <color rgb="FF0000FF"/>
        <rFont val="Arial"/>
        <family val="2"/>
      </rPr>
      <t>3</t>
    </r>
    <r>
      <rPr>
        <b/>
        <sz val="10"/>
        <color rgb="FF0000FF"/>
        <rFont val="Arial"/>
        <family val="2"/>
      </rPr>
      <t>, Q</t>
    </r>
    <r>
      <rPr>
        <b/>
        <vertAlign val="subscript"/>
        <sz val="10"/>
        <color rgb="FF0000FF"/>
        <rFont val="Arial"/>
        <family val="2"/>
      </rPr>
      <t>4</t>
    </r>
    <r>
      <rPr>
        <b/>
        <sz val="10"/>
        <color rgb="FF0000FF"/>
        <rFont val="Arial"/>
        <family val="2"/>
      </rPr>
      <t xml:space="preserve">) </t>
    </r>
  </si>
  <si>
    <r>
      <rPr>
        <b/>
        <i/>
        <u/>
        <sz val="10"/>
        <color rgb="FF0000FF"/>
        <rFont val="Arial"/>
        <family val="2"/>
      </rPr>
      <t>Buck</t>
    </r>
    <r>
      <rPr>
        <b/>
        <sz val="10"/>
        <color rgb="FF0000FF"/>
        <rFont val="Arial"/>
        <family val="2"/>
      </rPr>
      <t>-Leg Power MOSFETs (Q</t>
    </r>
    <r>
      <rPr>
        <b/>
        <vertAlign val="subscript"/>
        <sz val="10"/>
        <color rgb="FF0000FF"/>
        <rFont val="Arial"/>
        <family val="2"/>
      </rPr>
      <t>1</t>
    </r>
    <r>
      <rPr>
        <b/>
        <sz val="10"/>
        <color rgb="FF0000FF"/>
        <rFont val="Arial"/>
        <family val="2"/>
      </rPr>
      <t>, Q</t>
    </r>
    <r>
      <rPr>
        <b/>
        <vertAlign val="subscript"/>
        <sz val="10"/>
        <color rgb="FF0000FF"/>
        <rFont val="Arial"/>
        <family val="2"/>
      </rPr>
      <t>2</t>
    </r>
    <r>
      <rPr>
        <b/>
        <sz val="10"/>
        <color rgb="FF0000FF"/>
        <rFont val="Arial"/>
        <family val="2"/>
      </rPr>
      <t xml:space="preserve">) </t>
    </r>
  </si>
  <si>
    <t xml:space="preserve">  Low-side</t>
  </si>
  <si>
    <r>
      <rPr>
        <i/>
        <sz val="10"/>
        <rFont val="Arial"/>
        <family val="2"/>
      </rPr>
      <t xml:space="preserve">   Boost</t>
    </r>
    <r>
      <rPr>
        <sz val="10"/>
        <rFont val="Arial"/>
        <family val="2"/>
      </rPr>
      <t xml:space="preserve"> Leg</t>
    </r>
  </si>
  <si>
    <t>Tie to GND or VCC for DCM/CCM, respectively. Use 93.1k or 200k for hiccup in DCM, CCM, respectively.</t>
  </si>
  <si>
    <t>Dither Modulation Frequency</t>
  </si>
  <si>
    <t>Max COMP Voltage</t>
  </si>
  <si>
    <t>Min COMP Voltage</t>
  </si>
  <si>
    <t>sec</t>
  </si>
  <si>
    <t>Toff_Vinmax</t>
  </si>
  <si>
    <t>COMP max voltage</t>
  </si>
  <si>
    <t>COMP min voltage</t>
  </si>
  <si>
    <t>BUCK</t>
  </si>
  <si>
    <t>Ton_Vinmin</t>
  </si>
  <si>
    <t xml:space="preserve">lower edge of BUCK-BOOST </t>
  </si>
  <si>
    <t>Don_buckboost</t>
  </si>
  <si>
    <t>Ilimit_inductor_buckboost</t>
  </si>
  <si>
    <t>VIN_edgebuckboost</t>
  </si>
  <si>
    <t>Iripple_edgebuckboost</t>
  </si>
  <si>
    <t>Iout_edgebuckboost</t>
  </si>
  <si>
    <t>LM5175EVM-HD PCB Layout</t>
  </si>
  <si>
    <t>LM5175EVM-HP PCB Layout</t>
  </si>
  <si>
    <t>LM5175EVM PCB Layout</t>
  </si>
  <si>
    <t>Selected SLOPE cap</t>
  </si>
  <si>
    <t>Calculated inductance for 30% ripple at VIN(min)</t>
  </si>
  <si>
    <t>Calculated inductance for 40% ripple at VIN(nom)</t>
  </si>
  <si>
    <t>Chosen inductance</t>
  </si>
  <si>
    <t>Chosen inductor DCR</t>
  </si>
  <si>
    <r>
      <rPr>
        <b/>
        <sz val="10"/>
        <rFont val="Arial"/>
        <family val="2"/>
      </rPr>
      <t>Peak</t>
    </r>
    <r>
      <rPr>
        <sz val="10"/>
        <rFont val="Arial"/>
        <family val="2"/>
      </rPr>
      <t xml:space="preserve"> inductor current at current limit inception (if operating in </t>
    </r>
    <r>
      <rPr>
        <b/>
        <sz val="10"/>
        <rFont val="Arial"/>
        <family val="2"/>
      </rPr>
      <t>boost</t>
    </r>
    <r>
      <rPr>
        <sz val="10"/>
        <rFont val="Arial"/>
        <family val="2"/>
      </rPr>
      <t>)</t>
    </r>
  </si>
  <si>
    <t>edge of buck-boost</t>
  </si>
  <si>
    <r>
      <rPr>
        <b/>
        <sz val="10"/>
        <rFont val="Arial"/>
        <family val="2"/>
      </rPr>
      <t>Peak</t>
    </r>
    <r>
      <rPr>
        <sz val="10"/>
        <rFont val="Arial"/>
        <family val="2"/>
      </rPr>
      <t xml:space="preserve"> inductor current limit in </t>
    </r>
    <r>
      <rPr>
        <b/>
        <sz val="10"/>
        <rFont val="Arial"/>
        <family val="2"/>
      </rPr>
      <t>BOOST</t>
    </r>
  </si>
  <si>
    <r>
      <rPr>
        <b/>
        <sz val="10"/>
        <rFont val="Arial"/>
        <family val="2"/>
      </rPr>
      <t>Valley</t>
    </r>
    <r>
      <rPr>
        <sz val="10"/>
        <rFont val="Arial"/>
        <family val="2"/>
      </rPr>
      <t xml:space="preserve"> inductor current limit in </t>
    </r>
    <r>
      <rPr>
        <b/>
        <sz val="10"/>
        <rFont val="Arial"/>
        <family val="2"/>
      </rPr>
      <t>BUCK</t>
    </r>
  </si>
  <si>
    <t>Shunt required to get OCP at VIN(min)</t>
  </si>
  <si>
    <t>Shunt required to get OCP at VIN(nom)</t>
  </si>
  <si>
    <t>Shunt required to get OCP at VIN(max)</t>
  </si>
  <si>
    <t>Ideal Rs for the required OCP -- based on 80mV or 160mV CL threshold</t>
  </si>
  <si>
    <t>Assume we'd like to achieve current limit particularly at VIN(min) and boost side of buck-boost region; accept inevitable variation over line thereafter</t>
  </si>
  <si>
    <t>Shunt required to get OCP at VIN(edge-bb)</t>
  </si>
  <si>
    <t>Edge of B-B</t>
  </si>
  <si>
    <t>lower edge of buck-boost window</t>
  </si>
  <si>
    <t>BUCK-BOOST</t>
  </si>
  <si>
    <r>
      <t xml:space="preserve">80mV </t>
    </r>
    <r>
      <rPr>
        <b/>
        <sz val="10"/>
        <rFont val="Symbol"/>
        <family val="1"/>
        <charset val="2"/>
      </rPr>
      <t>±</t>
    </r>
    <r>
      <rPr>
        <b/>
        <sz val="10"/>
        <rFont val="Arial"/>
        <family val="2"/>
      </rPr>
      <t xml:space="preserve"> 20%</t>
    </r>
  </si>
  <si>
    <r>
      <t xml:space="preserve">160mV </t>
    </r>
    <r>
      <rPr>
        <b/>
        <sz val="10"/>
        <rFont val="Symbol"/>
        <family val="1"/>
        <charset val="2"/>
      </rPr>
      <t>±</t>
    </r>
    <r>
      <rPr>
        <b/>
        <sz val="10"/>
        <rFont val="Arial"/>
        <family val="2"/>
      </rPr>
      <t xml:space="preserve"> 20%</t>
    </r>
  </si>
  <si>
    <t>Icinrms_VINmin</t>
  </si>
  <si>
    <t>Icinrms_VINnom</t>
  </si>
  <si>
    <t>Icinrms_VINmiax</t>
  </si>
  <si>
    <t>Max Cout rms current</t>
  </si>
  <si>
    <t xml:space="preserve">Resulting Input Voltage Ripple (max) </t>
  </si>
  <si>
    <t xml:space="preserve">Resulting Output Voltage Ripple (max) </t>
  </si>
  <si>
    <t xml:space="preserve">Output Capacitor RMS Current (max) </t>
  </si>
  <si>
    <t>Input Capacitor RMS Current (max)</t>
  </si>
  <si>
    <t>Max Cin rms current</t>
  </si>
  <si>
    <t>Input voltage ripple spec (pk-pk)</t>
  </si>
  <si>
    <t>Reported Coutmin</t>
  </si>
  <si>
    <t>Output Voltage Ripple Spec</t>
  </si>
  <si>
    <t>Input Voltage Ripple Spec</t>
  </si>
  <si>
    <t>Minimum Input Capacitance</t>
  </si>
  <si>
    <t>Ton_min_boost</t>
  </si>
  <si>
    <t>Period</t>
  </si>
  <si>
    <t>Ts</t>
  </si>
  <si>
    <t>VIN_boost_to_BB</t>
  </si>
  <si>
    <t>VIN_BB_to_boost</t>
  </si>
  <si>
    <t>Toff_min_buck</t>
  </si>
  <si>
    <t>200ns</t>
  </si>
  <si>
    <t>300ns</t>
  </si>
  <si>
    <t>VIN_BB_to_buck</t>
  </si>
  <si>
    <t>VIN_buck_to_BB</t>
  </si>
  <si>
    <t>D_min_boost</t>
  </si>
  <si>
    <t>buck min timer</t>
  </si>
  <si>
    <t>boost min timer</t>
  </si>
  <si>
    <t>D_max_buck_BB</t>
  </si>
  <si>
    <t>T_max_BB</t>
  </si>
  <si>
    <t>max timer before transition from BB</t>
  </si>
  <si>
    <t>D_max_buck_enterBB</t>
  </si>
  <si>
    <t>Ishunt_rms_Vinmin</t>
  </si>
  <si>
    <t>Ishunt_rms_Vinnom</t>
  </si>
  <si>
    <t>Ishunt_rms_Vinmax</t>
  </si>
  <si>
    <t>Max shunt power loss at full load</t>
  </si>
  <si>
    <t>Shunt Loss</t>
  </si>
  <si>
    <t>Cinmin_Vinmax</t>
  </si>
  <si>
    <t>Buck 50% typically worst case</t>
  </si>
  <si>
    <t>CinEsrMax_Vinmax</t>
  </si>
  <si>
    <t>CinEsrMax_50%D</t>
  </si>
  <si>
    <t>Cinmin_50%D</t>
  </si>
  <si>
    <t>Vinripple2_Vinmax</t>
  </si>
  <si>
    <t>Vinripple2_50%D</t>
  </si>
  <si>
    <t>Calculate ripple at Vinmax and 50% duty cycle (Vin = 2*Vout)</t>
  </si>
  <si>
    <t>Calculate cap at Vinmax and 50% duty cycle (Vin = 2*Vout)</t>
  </si>
  <si>
    <t>Calculate ESR at Vinmax and 50% duty cycle (Vin = 2*Vout)</t>
  </si>
  <si>
    <t>Step 7: Compensation</t>
  </si>
  <si>
    <t>Step 6b: Other Components - UVLO, Dither, MODE</t>
  </si>
  <si>
    <t>Step 6a: Soft Start</t>
  </si>
  <si>
    <t>…report highest of these</t>
  </si>
  <si>
    <t>…report this</t>
  </si>
  <si>
    <t>PLOT_TYPE</t>
  </si>
  <si>
    <r>
      <t>Full Load Output Current, I</t>
    </r>
    <r>
      <rPr>
        <b/>
        <vertAlign val="subscript"/>
        <sz val="10"/>
        <color theme="1"/>
        <rFont val="Arial"/>
        <family val="2"/>
      </rPr>
      <t>OUT(max)</t>
    </r>
  </si>
  <si>
    <t>BUCK-BOOST CONTROLLER POWER TOOL</t>
  </si>
  <si>
    <t>Transition Loss</t>
  </si>
  <si>
    <t>Total Control MOSFET Loss</t>
  </si>
  <si>
    <t>Total Sync MOSFET Loss</t>
  </si>
  <si>
    <r>
      <t>Q1/Q3 R</t>
    </r>
    <r>
      <rPr>
        <b/>
        <vertAlign val="subscript"/>
        <sz val="10"/>
        <rFont val="Arial"/>
        <family val="2"/>
      </rPr>
      <t>DS(on)</t>
    </r>
    <r>
      <rPr>
        <b/>
        <sz val="10"/>
        <rFont val="Arial"/>
        <family val="2"/>
      </rPr>
      <t xml:space="preserve"> Loss @ D = 100%</t>
    </r>
  </si>
  <si>
    <t>Pass FET</t>
  </si>
  <si>
    <t>Control FET Temp Rise</t>
  </si>
  <si>
    <t>Sync FET Temp Rise</t>
  </si>
  <si>
    <t>Core Loss</t>
  </si>
  <si>
    <t>Irms Lf</t>
  </si>
  <si>
    <t xml:space="preserve">High-side BUCK "Control" MOSFET Losses </t>
  </si>
  <si>
    <t xml:space="preserve">Low-side BUCK "Sync" MOSFET Losses </t>
  </si>
  <si>
    <t xml:space="preserve">Low-side BOOST "Control" MOSFET Losses </t>
  </si>
  <si>
    <t xml:space="preserve">High-side BOOST "Sync" MOSFET Losses </t>
  </si>
  <si>
    <t>Mode</t>
  </si>
  <si>
    <t>Operating Point Condtions</t>
  </si>
  <si>
    <t>Mode Digit</t>
  </si>
  <si>
    <t>D_max_exitBB_to_boost</t>
  </si>
  <si>
    <t>D_max_exitBB_to_buck</t>
  </si>
  <si>
    <t>Duty Cycle BOOST Leg</t>
  </si>
  <si>
    <t>Duty Cycle BUCK Leg</t>
  </si>
  <si>
    <t>Actual Duty Cycle BUCK Leg</t>
  </si>
  <si>
    <t>Actual Duty Cycle BOOST Leg</t>
  </si>
  <si>
    <t>D_min_boost_exitBB_to_buck</t>
  </si>
  <si>
    <t>Avg IL</t>
  </si>
  <si>
    <t>Quiescent Current of LM5175 Controller (Not Switching!)</t>
  </si>
  <si>
    <t>Total MOSFET Loss</t>
  </si>
  <si>
    <t>Full-load/high line efficiency</t>
  </si>
  <si>
    <t>Half-load/mid-line efficiency</t>
  </si>
  <si>
    <t>Low line efficiency</t>
  </si>
  <si>
    <t>θJA-MOSFET</t>
  </si>
  <si>
    <t>θJA</t>
  </si>
  <si>
    <t>10% load</t>
  </si>
  <si>
    <t>100% load</t>
  </si>
  <si>
    <t>50% load</t>
  </si>
  <si>
    <t>Low VIN</t>
  </si>
  <si>
    <t>High VIN</t>
  </si>
  <si>
    <t>Nom VIN</t>
  </si>
  <si>
    <r>
      <t xml:space="preserve">Efficiency vs </t>
    </r>
    <r>
      <rPr>
        <b/>
        <sz val="10"/>
        <rFont val="Arial"/>
        <family val="2"/>
      </rPr>
      <t>IOUT</t>
    </r>
    <r>
      <rPr>
        <sz val="10"/>
        <rFont val="Arial"/>
        <family val="2"/>
      </rPr>
      <t xml:space="preserve"> Plot</t>
    </r>
  </si>
  <si>
    <t>Efficiency vs VIN Plot</t>
  </si>
  <si>
    <t xml:space="preserve"> LM5175 Quickstart Design Tool</t>
  </si>
  <si>
    <t>http://www.ti.com/nexfet</t>
  </si>
  <si>
    <t>TSSOP-28</t>
  </si>
  <si>
    <r>
      <t>** For information on TI NexFET</t>
    </r>
    <r>
      <rPr>
        <vertAlign val="superscript"/>
        <sz val="10"/>
        <rFont val="Arial"/>
        <family val="2"/>
      </rPr>
      <t>TM</t>
    </r>
    <r>
      <rPr>
        <sz val="10"/>
        <rFont val="Arial"/>
        <family val="2"/>
      </rPr>
      <t xml:space="preserve"> MOSFETs, see **</t>
    </r>
  </si>
  <si>
    <t xml:space="preserve">   **</t>
  </si>
  <si>
    <t>VIN range</t>
  </si>
  <si>
    <t>DITHER Yes/No</t>
  </si>
  <si>
    <t>1 = Yes, 2 = No</t>
  </si>
  <si>
    <t>DITHER Disabled</t>
  </si>
  <si>
    <t>DITHER Enabled</t>
  </si>
  <si>
    <t>Modulating Frequency</t>
  </si>
  <si>
    <t>Worst case peak inductor current</t>
  </si>
  <si>
    <r>
      <t>Peak Inductor Current, I</t>
    </r>
    <r>
      <rPr>
        <vertAlign val="subscript"/>
        <sz val="10"/>
        <color theme="1"/>
        <rFont val="Arial"/>
        <family val="2"/>
      </rPr>
      <t>LPK</t>
    </r>
  </si>
  <si>
    <t>CSD18563Q5A</t>
  </si>
  <si>
    <t>CSD16321Q5</t>
  </si>
  <si>
    <r>
      <t>V</t>
    </r>
    <r>
      <rPr>
        <b/>
        <vertAlign val="subscript"/>
        <sz val="10"/>
        <color theme="1"/>
        <rFont val="Arial"/>
        <family val="2"/>
      </rPr>
      <t>IN(nom)</t>
    </r>
  </si>
  <si>
    <t>dB</t>
  </si>
  <si>
    <t>EA Gain</t>
  </si>
  <si>
    <t>EA Gain (dB)</t>
  </si>
  <si>
    <t>Vijay edit: removed the derating.</t>
  </si>
  <si>
    <t>edited based on LM5176 curve fit.</t>
  </si>
  <si>
    <t>Vijay's edits 80 mV ± 15%.</t>
  </si>
  <si>
    <t>Restored to 50mV as ICTRL went away and the 25mV centering also went away.</t>
  </si>
  <si>
    <t>Vijay's edits. Used 120 mV ± 15% for min max. Check after char data to see if it is ok.</t>
  </si>
  <si>
    <t>Edited by Vijay from 96% to 90% to match datasheet calculations.</t>
  </si>
  <si>
    <t xml:space="preserve">Note: min/max are not really being used in calculations. So irrelevant if variation small.  </t>
  </si>
  <si>
    <t>Vijay's simplification</t>
  </si>
  <si>
    <t>Vijay's simplication to match datasheet calculation.</t>
  </si>
  <si>
    <t>Cc2 calculation updated to place at 5-10x the crossover. Vijay 10/7/2016</t>
  </si>
  <si>
    <t>Vijay Edit. Changed from Fcross/2 to 1.5x of Fp_dominant</t>
  </si>
  <si>
    <t>LM5176 DC/DC Controller Design Tool</t>
  </si>
  <si>
    <t>Vijay verified that this calculation (Vinmax) are correct for OCP.</t>
  </si>
  <si>
    <t>** Tie MODE to VCC (or voltage &gt; 2.4V) for No Hiccup **</t>
  </si>
  <si>
    <t>http://www.ti.com/product/lm5176</t>
  </si>
  <si>
    <t>LM5176</t>
  </si>
  <si>
    <t>IC, LM5176, Buck-Boost PWM Controller</t>
  </si>
  <si>
    <t>LM5176PWP</t>
  </si>
  <si>
    <t>Set Const Current Loop Setpoint (?)</t>
  </si>
  <si>
    <t>1.9uA kept by Vijay based on lab data (2017/5/05)</t>
  </si>
  <si>
    <t>changed to 4.95uA by Vijay on 5/5/2017</t>
  </si>
  <si>
    <t>4.95uA if UVLO =1.5V</t>
  </si>
  <si>
    <t>3.05uA hysteresis current</t>
  </si>
  <si>
    <t>Version Number</t>
  </si>
  <si>
    <t>1.0.0</t>
  </si>
  <si>
    <t>Version History</t>
  </si>
  <si>
    <t>Version</t>
  </si>
  <si>
    <t>Change List Description</t>
  </si>
  <si>
    <t>Initial Release</t>
  </si>
  <si>
    <t>1.0.1</t>
  </si>
  <si>
    <t>Calculated inductance for 30% ripple at VIN(max)</t>
  </si>
  <si>
    <t>anerage of calculated inductances at VIN(min) and VIN(nom)</t>
  </si>
  <si>
    <t>Fixed display of comments, optimized proposal of inductor</t>
  </si>
  <si>
    <t>1.0.2</t>
  </si>
  <si>
    <t>Fixed calculation of Peak Inductor Current, ILPK</t>
  </si>
  <si>
    <t>February  2026</t>
  </si>
  <si>
    <t>V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</si>
</sst>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* #,##0.00_);_(* \(#,##0.00\);_(* &quot;-&quot;??_);_(@_)"/>
    <numFmt numFmtId="165" formatCode="0.000000"/>
    <numFmt numFmtId="166" formatCode="0.00000"/>
    <numFmt numFmtId="167" formatCode="0.0000"/>
    <numFmt numFmtId="168" formatCode="0.000"/>
    <numFmt numFmtId="169" formatCode="0.0"/>
    <numFmt numFmtId="170" formatCode="0.000E+00"/>
    <numFmt numFmtId="171" formatCode="0.00000000"/>
    <numFmt numFmtId="172" formatCode="#0.0#"/>
    <numFmt numFmtId="173" formatCode="General&quot;nF&quot;"/>
    <numFmt numFmtId="174" formatCode="General&quot;k&quot;"/>
    <numFmt numFmtId="175" formatCode="General&quot;pF&quot;"/>
    <numFmt numFmtId="176" formatCode="General&quot;µF&quot;"/>
    <numFmt numFmtId="177" formatCode="&quot;Capacitor, Ceramic, &quot;General&quot;-µF, 25V, X5R, 20%&quot;"/>
    <numFmt numFmtId="178" formatCode="&quot;Capacitor, Ceramic, &quot;General&quot;-pF, 50V, NP0, 5%&quot;"/>
    <numFmt numFmtId="179" formatCode="&quot;Capacitor, Ceramic, &quot;General&quot;-nF, 16V, X7R, 10%&quot;"/>
    <numFmt numFmtId="180" formatCode="&quot;Capacitor, Ceramic, &quot;General&quot;-pF, 16V, X7R, 10%&quot;"/>
    <numFmt numFmtId="181" formatCode="&quot;Capacitor, Ceramic, &quot;General&quot;-µF, 25V, X7R, 20%&quot;"/>
    <numFmt numFmtId="182" formatCode="General&quot;µH&quot;"/>
    <numFmt numFmtId="183" formatCode="&quot;Inductor, &quot;General&quot;-µH, 10%&quot;"/>
    <numFmt numFmtId="184" formatCode="&quot;Resistor, Chip, &quot;General&quot;-kΩ, 1/16W, 1%&quot;"/>
    <numFmt numFmtId="185" formatCode="&quot;Resistor, Chip, &quot;General&quot;-Ω, 1/16W, 1%&quot;"/>
    <numFmt numFmtId="186" formatCode="0.E+00"/>
    <numFmt numFmtId="187" formatCode="0.0%"/>
    <numFmt numFmtId="188" formatCode="0.0E+00"/>
    <numFmt numFmtId="189" formatCode="&quot;MOSFET, N-CH, 60V, &quot;General&quot;mΩ&quot;"/>
    <numFmt numFmtId="190" formatCode="General&quot;m&quot;"/>
    <numFmt numFmtId="191" formatCode="&quot;Capacitor, Ceramic, &quot;General&quot;-µF, 50V, X7R, 20%&quot;"/>
    <numFmt numFmtId="192" formatCode="&quot;Capacitor, Ceramic, &quot;General&quot;-µF, 100V, X7R, 20%&quot;"/>
    <numFmt numFmtId="193" formatCode="&quot;Resistor, Chip, &quot;General&quot;-mΩ, 2W, 1%&quot;"/>
  </numFmts>
  <fonts count="9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22"/>
      <color indexed="44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u/>
      <sz val="10"/>
      <color indexed="12"/>
      <name val="Arial"/>
      <family val="2"/>
    </font>
    <font>
      <b/>
      <sz val="16"/>
      <name val="Arial"/>
      <family val="2"/>
    </font>
    <font>
      <sz val="10"/>
      <color indexed="44"/>
      <name val="Arial"/>
      <family val="2"/>
    </font>
    <font>
      <b/>
      <sz val="28"/>
      <color indexed="44"/>
      <name val="Arial"/>
      <family val="2"/>
    </font>
    <font>
      <b/>
      <sz val="10"/>
      <color indexed="44"/>
      <name val="Arial"/>
      <family val="2"/>
    </font>
    <font>
      <sz val="10"/>
      <color indexed="8"/>
      <name val="Arial"/>
      <family val="2"/>
    </font>
    <font>
      <b/>
      <sz val="24"/>
      <color indexed="44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indexed="55"/>
      <name val="Calibri"/>
      <family val="2"/>
    </font>
    <font>
      <b/>
      <sz val="10"/>
      <color indexed="9"/>
      <name val="Calibri"/>
      <family val="2"/>
    </font>
    <font>
      <b/>
      <sz val="12"/>
      <color indexed="48"/>
      <name val="Arial"/>
      <family val="2"/>
    </font>
    <font>
      <b/>
      <sz val="12"/>
      <color indexed="12"/>
      <name val="Arial"/>
      <family val="2"/>
    </font>
    <font>
      <sz val="10"/>
      <color indexed="23"/>
      <name val="Calibri"/>
      <family val="2"/>
    </font>
    <font>
      <b/>
      <sz val="12"/>
      <color indexed="9"/>
      <name val="Calibri"/>
      <family val="2"/>
    </font>
    <font>
      <sz val="12"/>
      <name val="Calibri"/>
      <family val="2"/>
    </font>
    <font>
      <b/>
      <sz val="22"/>
      <color indexed="9"/>
      <name val="Calibri"/>
      <family val="2"/>
    </font>
    <font>
      <b/>
      <sz val="10"/>
      <color indexed="13"/>
      <name val="Calibri"/>
      <family val="2"/>
    </font>
    <font>
      <b/>
      <u/>
      <sz val="10"/>
      <color indexed="10"/>
      <name val="Arial"/>
      <family val="2"/>
    </font>
    <font>
      <sz val="10"/>
      <color indexed="56"/>
      <name val="Calibri"/>
      <family val="2"/>
    </font>
    <font>
      <sz val="10"/>
      <color indexed="8"/>
      <name val="Arial"/>
      <family val="2"/>
    </font>
    <font>
      <b/>
      <sz val="14"/>
      <color indexed="9"/>
      <name val="Calibri"/>
      <family val="2"/>
    </font>
    <font>
      <sz val="11"/>
      <color indexed="81"/>
      <name val="Tahoma"/>
      <family val="2"/>
    </font>
    <font>
      <b/>
      <i/>
      <sz val="14"/>
      <color indexed="12"/>
      <name val="Calibri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u/>
      <sz val="8"/>
      <color indexed="81"/>
      <name val="Tahoma"/>
      <family val="2"/>
    </font>
    <font>
      <b/>
      <u/>
      <sz val="9"/>
      <color indexed="81"/>
      <name val="Tahoma"/>
      <family val="2"/>
    </font>
    <font>
      <b/>
      <sz val="9"/>
      <color indexed="10"/>
      <name val="Tahoma"/>
      <family val="2"/>
    </font>
    <font>
      <sz val="10"/>
      <color indexed="81"/>
      <name val="Tahoma"/>
      <family val="2"/>
    </font>
    <font>
      <sz val="9"/>
      <color indexed="39"/>
      <name val="Tahoma"/>
      <family val="2"/>
    </font>
    <font>
      <b/>
      <sz val="9"/>
      <color indexed="39"/>
      <name val="Tahoma"/>
      <family val="2"/>
    </font>
    <font>
      <b/>
      <vertAlign val="subscript"/>
      <sz val="9"/>
      <color indexed="81"/>
      <name val="Tahoma"/>
      <family val="2"/>
    </font>
    <font>
      <vertAlign val="subscript"/>
      <sz val="9"/>
      <color indexed="81"/>
      <name val="Tahoma"/>
      <family val="2"/>
    </font>
    <font>
      <b/>
      <sz val="8"/>
      <color indexed="10"/>
      <name val="Tahoma"/>
      <family val="2"/>
    </font>
    <font>
      <b/>
      <vertAlign val="subscript"/>
      <sz val="10"/>
      <color indexed="81"/>
      <name val="Tahoma"/>
      <family val="2"/>
    </font>
    <font>
      <vertAlign val="subscript"/>
      <sz val="10"/>
      <color indexed="81"/>
      <name val="Tahoma"/>
      <family val="2"/>
    </font>
    <font>
      <sz val="10"/>
      <color indexed="81"/>
      <name val="Calibri"/>
      <family val="2"/>
    </font>
    <font>
      <sz val="36"/>
      <color rgb="FFFF0000"/>
      <name val="Arial"/>
      <family val="2"/>
    </font>
    <font>
      <sz val="32"/>
      <color theme="0"/>
      <name val="Arial"/>
      <family val="2"/>
    </font>
    <font>
      <sz val="16"/>
      <color theme="0"/>
      <name val="Arial"/>
      <family val="2"/>
    </font>
    <font>
      <b/>
      <vertAlign val="subscript"/>
      <sz val="10"/>
      <name val="Arial"/>
      <family val="2"/>
    </font>
    <font>
      <sz val="10"/>
      <color indexed="23"/>
      <name val="Arial"/>
      <family val="2"/>
    </font>
    <font>
      <sz val="10"/>
      <color indexed="55"/>
      <name val="Arial"/>
      <family val="2"/>
    </font>
    <font>
      <b/>
      <i/>
      <sz val="10"/>
      <color indexed="55"/>
      <name val="Arial"/>
      <family val="2"/>
    </font>
    <font>
      <b/>
      <i/>
      <sz val="14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9"/>
      <name val="Arial"/>
      <family val="2"/>
    </font>
    <font>
      <b/>
      <sz val="10"/>
      <color rgb="FFFF0000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rgb="FF0000FF"/>
      <name val="Calibri"/>
      <family val="2"/>
    </font>
    <font>
      <b/>
      <vertAlign val="subscript"/>
      <sz val="10"/>
      <color rgb="FF0000FF"/>
      <name val="Arial"/>
      <family val="2"/>
    </font>
    <font>
      <b/>
      <sz val="12"/>
      <color rgb="FF003366"/>
      <name val="Calibri"/>
      <family val="2"/>
    </font>
    <font>
      <sz val="10"/>
      <name val="Symbol"/>
      <family val="1"/>
      <charset val="2"/>
    </font>
    <font>
      <b/>
      <sz val="10"/>
      <color indexed="9"/>
      <name val="Arial"/>
      <family val="2"/>
    </font>
    <font>
      <b/>
      <sz val="12"/>
      <color rgb="FF0000FF"/>
      <name val="Arial"/>
      <family val="2"/>
    </font>
    <font>
      <b/>
      <u/>
      <sz val="10"/>
      <name val="Arial"/>
      <family val="2"/>
    </font>
    <font>
      <u/>
      <sz val="9"/>
      <color indexed="12"/>
      <name val="Tahoma"/>
      <family val="2"/>
    </font>
    <font>
      <vertAlign val="superscript"/>
      <sz val="10"/>
      <name val="Arial"/>
      <family val="2"/>
    </font>
    <font>
      <vertAlign val="subscript"/>
      <sz val="10"/>
      <color theme="1"/>
      <name val="Arial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vertAlign val="subscript"/>
      <sz val="10"/>
      <color rgb="FFFF0000"/>
      <name val="Arial"/>
      <family val="2"/>
    </font>
    <font>
      <b/>
      <sz val="10"/>
      <name val="Symbol"/>
      <family val="1"/>
      <charset val="2"/>
    </font>
    <font>
      <b/>
      <i/>
      <u/>
      <sz val="10"/>
      <color rgb="FF0000FF"/>
      <name val="Arial"/>
      <family val="2"/>
    </font>
    <font>
      <sz val="10"/>
      <color theme="0"/>
      <name val="Arial"/>
      <family val="2"/>
    </font>
    <font>
      <u/>
      <sz val="10"/>
      <color theme="0" tint="-0.499984740745262"/>
      <name val="Arial"/>
      <family val="2"/>
    </font>
    <font>
      <b/>
      <sz val="12"/>
      <color indexed="10"/>
      <name val="Tahoma"/>
      <family val="2"/>
    </font>
    <font>
      <b/>
      <sz val="10"/>
      <color rgb="FFFF00FF"/>
      <name val="Arial"/>
      <family val="2"/>
    </font>
    <font>
      <b/>
      <sz val="10"/>
      <color rgb="FFC00000"/>
      <name val="Arial"/>
      <family val="2"/>
    </font>
    <font>
      <b/>
      <vertAlign val="subscript"/>
      <sz val="9"/>
      <color indexed="10"/>
      <name val="Tahoma"/>
      <family val="2"/>
    </font>
    <font>
      <b/>
      <sz val="9"/>
      <color indexed="14"/>
      <name val="Tahoma"/>
      <family val="2"/>
    </font>
    <font>
      <b/>
      <sz val="9"/>
      <color rgb="FF000000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0"/>
      <color theme="10"/>
      <name val="Arial"/>
      <family val="2"/>
    </font>
    <font>
      <b/>
      <sz val="10"/>
      <color theme="0"/>
      <name val="Arial"/>
      <family val="2"/>
    </font>
    <font>
      <b/>
      <u/>
      <sz val="11"/>
      <color theme="1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E0000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55"/>
      </top>
      <bottom/>
      <diagonal/>
    </border>
    <border>
      <left/>
      <right/>
      <top/>
      <bottom style="medium">
        <color indexed="55"/>
      </bottom>
      <diagonal/>
    </border>
    <border>
      <left/>
      <right style="medium">
        <color indexed="55"/>
      </right>
      <top style="medium">
        <color indexed="55"/>
      </top>
      <bottom/>
      <diagonal/>
    </border>
    <border>
      <left/>
      <right style="medium">
        <color indexed="55"/>
      </right>
      <top/>
      <bottom/>
      <diagonal/>
    </border>
    <border>
      <left/>
      <right style="medium">
        <color indexed="55"/>
      </right>
      <top/>
      <bottom style="medium">
        <color indexed="55"/>
      </bottom>
      <diagonal/>
    </border>
    <border>
      <left style="medium">
        <color indexed="55"/>
      </left>
      <right/>
      <top style="medium">
        <color indexed="55"/>
      </top>
      <bottom/>
      <diagonal/>
    </border>
    <border>
      <left style="medium">
        <color indexed="55"/>
      </left>
      <right/>
      <top/>
      <bottom/>
      <diagonal/>
    </border>
    <border>
      <left style="medium">
        <color indexed="55"/>
      </left>
      <right/>
      <top/>
      <bottom style="medium">
        <color indexed="55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55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2" fillId="0" borderId="0"/>
    <xf numFmtId="164" fontId="2" fillId="0" borderId="0" applyFont="0" applyFill="0" applyBorder="0" applyAlignment="0" applyProtection="0"/>
    <xf numFmtId="0" fontId="1" fillId="0" borderId="0"/>
    <xf numFmtId="0" fontId="94" fillId="0" borderId="0" applyNumberFormat="0" applyFill="0" applyBorder="0" applyAlignment="0" applyProtection="0"/>
  </cellStyleXfs>
  <cellXfs count="747">
    <xf numFmtId="0" fontId="0" fillId="0" borderId="0" xfId="0"/>
    <xf numFmtId="0" fontId="8" fillId="0" borderId="0" xfId="0" applyFont="1"/>
    <xf numFmtId="0" fontId="4" fillId="0" borderId="0" xfId="0" applyFont="1"/>
    <xf numFmtId="0" fontId="9" fillId="0" borderId="0" xfId="0" applyFon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4" fillId="2" borderId="0" xfId="0" applyFont="1" applyFill="1"/>
    <xf numFmtId="170" fontId="0" fillId="0" borderId="0" xfId="0" applyNumberFormat="1"/>
    <xf numFmtId="10" fontId="0" fillId="0" borderId="0" xfId="0" applyNumberFormat="1"/>
    <xf numFmtId="0" fontId="15" fillId="3" borderId="0" xfId="0" applyFont="1" applyFill="1" applyAlignment="1">
      <alignment horizontal="right"/>
    </xf>
    <xf numFmtId="0" fontId="15" fillId="3" borderId="0" xfId="0" applyFont="1" applyFill="1"/>
    <xf numFmtId="0" fontId="0" fillId="4" borderId="2" xfId="0" applyFill="1" applyBorder="1"/>
    <xf numFmtId="0" fontId="17" fillId="3" borderId="4" xfId="0" applyFont="1" applyFill="1" applyBorder="1"/>
    <xf numFmtId="0" fontId="4" fillId="5" borderId="8" xfId="0" applyFont="1" applyFill="1" applyBorder="1"/>
    <xf numFmtId="0" fontId="4" fillId="5" borderId="9" xfId="0" applyFont="1" applyFill="1" applyBorder="1"/>
    <xf numFmtId="0" fontId="4" fillId="5" borderId="10" xfId="0" applyFont="1" applyFill="1" applyBorder="1"/>
    <xf numFmtId="0" fontId="4" fillId="5" borderId="11" xfId="0" applyFont="1" applyFill="1" applyBorder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0" fillId="6" borderId="12" xfId="0" applyFill="1" applyBorder="1"/>
    <xf numFmtId="0" fontId="0" fillId="0" borderId="11" xfId="0" applyBorder="1"/>
    <xf numFmtId="0" fontId="0" fillId="6" borderId="11" xfId="0" applyFill="1" applyBorder="1"/>
    <xf numFmtId="0" fontId="0" fillId="4" borderId="11" xfId="0" applyFill="1" applyBorder="1"/>
    <xf numFmtId="0" fontId="4" fillId="5" borderId="0" xfId="0" applyFont="1" applyFill="1"/>
    <xf numFmtId="0" fontId="0" fillId="6" borderId="0" xfId="0" applyFill="1"/>
    <xf numFmtId="0" fontId="0" fillId="0" borderId="13" xfId="0" applyBorder="1"/>
    <xf numFmtId="0" fontId="9" fillId="2" borderId="0" xfId="0" applyFont="1" applyFill="1"/>
    <xf numFmtId="0" fontId="0" fillId="6" borderId="13" xfId="0" applyFill="1" applyBorder="1"/>
    <xf numFmtId="0" fontId="0" fillId="4" borderId="0" xfId="0" applyFill="1"/>
    <xf numFmtId="11" fontId="0" fillId="0" borderId="0" xfId="0" applyNumberFormat="1"/>
    <xf numFmtId="0" fontId="13" fillId="3" borderId="0" xfId="0" applyFont="1" applyFill="1"/>
    <xf numFmtId="0" fontId="0" fillId="4" borderId="12" xfId="0" applyFill="1" applyBorder="1"/>
    <xf numFmtId="0" fontId="0" fillId="4" borderId="14" xfId="0" applyFill="1" applyBorder="1"/>
    <xf numFmtId="0" fontId="4" fillId="4" borderId="11" xfId="0" applyFont="1" applyFill="1" applyBorder="1"/>
    <xf numFmtId="0" fontId="0" fillId="6" borderId="8" xfId="0" applyFill="1" applyBorder="1"/>
    <xf numFmtId="0" fontId="0" fillId="4" borderId="8" xfId="0" applyFill="1" applyBorder="1"/>
    <xf numFmtId="0" fontId="4" fillId="5" borderId="4" xfId="0" applyFont="1" applyFill="1" applyBorder="1"/>
    <xf numFmtId="0" fontId="0" fillId="2" borderId="14" xfId="0" applyFill="1" applyBorder="1"/>
    <xf numFmtId="0" fontId="0" fillId="2" borderId="13" xfId="0" applyFill="1" applyBorder="1"/>
    <xf numFmtId="0" fontId="0" fillId="2" borderId="12" xfId="0" applyFill="1" applyBorder="1"/>
    <xf numFmtId="0" fontId="0" fillId="8" borderId="0" xfId="0" applyFill="1"/>
    <xf numFmtId="0" fontId="16" fillId="0" borderId="0" xfId="0" applyFont="1"/>
    <xf numFmtId="0" fontId="0" fillId="10" borderId="0" xfId="0" applyFill="1"/>
    <xf numFmtId="0" fontId="0" fillId="0" borderId="0" xfId="0" applyAlignment="1">
      <alignment horizontal="right"/>
    </xf>
    <xf numFmtId="0" fontId="18" fillId="0" borderId="0" xfId="0" applyFont="1"/>
    <xf numFmtId="11" fontId="8" fillId="0" borderId="0" xfId="0" applyNumberFormat="1" applyFont="1"/>
    <xf numFmtId="0" fontId="0" fillId="11" borderId="0" xfId="0" applyFill="1"/>
    <xf numFmtId="169" fontId="0" fillId="0" borderId="0" xfId="0" applyNumberFormat="1"/>
    <xf numFmtId="0" fontId="4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4" fillId="12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166" fontId="0" fillId="0" borderId="0" xfId="0" applyNumberFormat="1"/>
    <xf numFmtId="172" fontId="18" fillId="3" borderId="0" xfId="0" applyNumberFormat="1" applyFont="1" applyFill="1" applyAlignment="1">
      <alignment horizontal="center"/>
    </xf>
    <xf numFmtId="172" fontId="26" fillId="3" borderId="0" xfId="0" applyNumberFormat="1" applyFont="1" applyFill="1" applyAlignment="1">
      <alignment horizontal="center"/>
    </xf>
    <xf numFmtId="0" fontId="0" fillId="0" borderId="28" xfId="0" applyBorder="1"/>
    <xf numFmtId="0" fontId="0" fillId="0" borderId="29" xfId="0" applyBorder="1"/>
    <xf numFmtId="0" fontId="9" fillId="0" borderId="28" xfId="0" applyFont="1" applyBorder="1"/>
    <xf numFmtId="0" fontId="0" fillId="13" borderId="0" xfId="0" applyFill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Border="1"/>
    <xf numFmtId="0" fontId="0" fillId="0" borderId="3" xfId="0" applyBorder="1"/>
    <xf numFmtId="0" fontId="8" fillId="0" borderId="28" xfId="0" applyFont="1" applyBorder="1"/>
    <xf numFmtId="0" fontId="4" fillId="0" borderId="28" xfId="0" applyFont="1" applyBorder="1"/>
    <xf numFmtId="11" fontId="0" fillId="13" borderId="0" xfId="0" applyNumberFormat="1" applyFill="1"/>
    <xf numFmtId="0" fontId="0" fillId="12" borderId="0" xfId="0" applyFill="1"/>
    <xf numFmtId="11" fontId="0" fillId="12" borderId="0" xfId="0" applyNumberFormat="1" applyFill="1"/>
    <xf numFmtId="0" fontId="0" fillId="0" borderId="31" xfId="0" applyBorder="1" applyAlignment="1">
      <alignment horizontal="right"/>
    </xf>
    <xf numFmtId="11" fontId="8" fillId="0" borderId="31" xfId="0" applyNumberFormat="1" applyFont="1" applyBorder="1"/>
    <xf numFmtId="11" fontId="0" fillId="4" borderId="0" xfId="0" applyNumberFormat="1" applyFill="1"/>
    <xf numFmtId="0" fontId="0" fillId="2" borderId="0" xfId="0" applyFill="1" applyProtection="1">
      <protection locked="0"/>
    </xf>
    <xf numFmtId="0" fontId="0" fillId="2" borderId="11" xfId="0" applyFill="1" applyBorder="1" applyProtection="1">
      <protection locked="0"/>
    </xf>
    <xf numFmtId="0" fontId="0" fillId="9" borderId="0" xfId="0" applyFill="1"/>
    <xf numFmtId="0" fontId="0" fillId="0" borderId="8" xfId="0" applyBorder="1"/>
    <xf numFmtId="0" fontId="0" fillId="4" borderId="13" xfId="0" applyFill="1" applyBorder="1"/>
    <xf numFmtId="0" fontId="0" fillId="7" borderId="11" xfId="0" applyFill="1" applyBorder="1"/>
    <xf numFmtId="0" fontId="16" fillId="7" borderId="11" xfId="0" applyFont="1" applyFill="1" applyBorder="1"/>
    <xf numFmtId="0" fontId="9" fillId="7" borderId="11" xfId="0" applyFont="1" applyFill="1" applyBorder="1"/>
    <xf numFmtId="0" fontId="9" fillId="9" borderId="11" xfId="0" applyFont="1" applyFill="1" applyBorder="1"/>
    <xf numFmtId="0" fontId="18" fillId="3" borderId="0" xfId="0" applyFont="1" applyFill="1"/>
    <xf numFmtId="0" fontId="19" fillId="9" borderId="0" xfId="0" applyFont="1" applyFill="1"/>
    <xf numFmtId="0" fontId="18" fillId="9" borderId="0" xfId="0" applyFont="1" applyFill="1" applyAlignment="1">
      <alignment horizontal="right"/>
    </xf>
    <xf numFmtId="0" fontId="19" fillId="9" borderId="0" xfId="0" applyFont="1" applyFill="1" applyAlignment="1">
      <alignment horizontal="right"/>
    </xf>
    <xf numFmtId="0" fontId="18" fillId="9" borderId="0" xfId="0" applyFont="1" applyFill="1"/>
    <xf numFmtId="0" fontId="26" fillId="15" borderId="19" xfId="0" applyFont="1" applyFill="1" applyBorder="1"/>
    <xf numFmtId="0" fontId="26" fillId="15" borderId="20" xfId="0" applyFont="1" applyFill="1" applyBorder="1"/>
    <xf numFmtId="0" fontId="26" fillId="3" borderId="0" xfId="0" applyFont="1" applyFill="1"/>
    <xf numFmtId="0" fontId="18" fillId="9" borderId="0" xfId="0" applyFont="1" applyFill="1" applyAlignment="1">
      <alignment horizontal="center"/>
    </xf>
    <xf numFmtId="0" fontId="18" fillId="9" borderId="0" xfId="0" applyFont="1" applyFill="1" applyAlignment="1">
      <alignment horizontal="left"/>
    </xf>
    <xf numFmtId="0" fontId="22" fillId="0" borderId="0" xfId="0" applyFont="1"/>
    <xf numFmtId="0" fontId="0" fillId="0" borderId="1" xfId="0" applyBorder="1"/>
    <xf numFmtId="0" fontId="4" fillId="0" borderId="1" xfId="0" applyFont="1" applyBorder="1"/>
    <xf numFmtId="0" fontId="0" fillId="0" borderId="2" xfId="0" applyBorder="1" applyAlignment="1">
      <alignment horizontal="right"/>
    </xf>
    <xf numFmtId="0" fontId="23" fillId="0" borderId="0" xfId="0" applyFont="1"/>
    <xf numFmtId="0" fontId="31" fillId="0" borderId="0" xfId="0" applyFont="1"/>
    <xf numFmtId="0" fontId="31" fillId="4" borderId="0" xfId="0" applyFont="1" applyFill="1"/>
    <xf numFmtId="0" fontId="22" fillId="0" borderId="38" xfId="0" applyFont="1" applyBorder="1"/>
    <xf numFmtId="0" fontId="0" fillId="0" borderId="33" xfId="0" applyBorder="1"/>
    <xf numFmtId="0" fontId="0" fillId="0" borderId="35" xfId="0" applyBorder="1"/>
    <xf numFmtId="0" fontId="9" fillId="0" borderId="39" xfId="0" applyFont="1" applyBorder="1"/>
    <xf numFmtId="0" fontId="0" fillId="0" borderId="36" xfId="0" applyBorder="1"/>
    <xf numFmtId="0" fontId="31" fillId="0" borderId="39" xfId="0" applyFont="1" applyBorder="1"/>
    <xf numFmtId="0" fontId="31" fillId="0" borderId="40" xfId="0" applyFont="1" applyBorder="1"/>
    <xf numFmtId="0" fontId="31" fillId="0" borderId="34" xfId="0" applyFont="1" applyBorder="1"/>
    <xf numFmtId="0" fontId="0" fillId="0" borderId="34" xfId="0" applyBorder="1"/>
    <xf numFmtId="0" fontId="0" fillId="0" borderId="37" xfId="0" applyBorder="1"/>
    <xf numFmtId="0" fontId="9" fillId="0" borderId="31" xfId="0" applyFont="1" applyBorder="1"/>
    <xf numFmtId="0" fontId="9" fillId="13" borderId="0" xfId="0" applyFont="1" applyFill="1"/>
    <xf numFmtId="0" fontId="18" fillId="9" borderId="29" xfId="0" applyFont="1" applyFill="1" applyBorder="1"/>
    <xf numFmtId="0" fontId="20" fillId="9" borderId="0" xfId="0" applyFont="1" applyFill="1"/>
    <xf numFmtId="168" fontId="18" fillId="9" borderId="0" xfId="0" applyNumberFormat="1" applyFont="1" applyFill="1"/>
    <xf numFmtId="171" fontId="18" fillId="9" borderId="0" xfId="0" applyNumberFormat="1" applyFont="1" applyFill="1"/>
    <xf numFmtId="167" fontId="18" fillId="9" borderId="0" xfId="0" applyNumberFormat="1" applyFont="1" applyFill="1"/>
    <xf numFmtId="2" fontId="31" fillId="12" borderId="0" xfId="0" applyNumberFormat="1" applyFont="1" applyFill="1"/>
    <xf numFmtId="0" fontId="18" fillId="16" borderId="0" xfId="0" applyFont="1" applyFill="1"/>
    <xf numFmtId="0" fontId="3" fillId="0" borderId="0" xfId="0" applyFont="1"/>
    <xf numFmtId="2" fontId="3" fillId="0" borderId="0" xfId="0" quotePrefix="1" applyNumberFormat="1" applyFont="1"/>
    <xf numFmtId="0" fontId="0" fillId="0" borderId="0" xfId="0" applyAlignment="1">
      <alignment horizontal="left"/>
    </xf>
    <xf numFmtId="0" fontId="3" fillId="0" borderId="2" xfId="0" applyFont="1" applyBorder="1"/>
    <xf numFmtId="0" fontId="3" fillId="0" borderId="31" xfId="0" applyFont="1" applyBorder="1"/>
    <xf numFmtId="0" fontId="34" fillId="9" borderId="0" xfId="0" applyFont="1" applyFill="1"/>
    <xf numFmtId="0" fontId="21" fillId="19" borderId="0" xfId="0" applyFont="1" applyFill="1" applyAlignment="1">
      <alignment vertical="center"/>
    </xf>
    <xf numFmtId="0" fontId="0" fillId="18" borderId="0" xfId="0" applyFill="1"/>
    <xf numFmtId="0" fontId="54" fillId="18" borderId="0" xfId="0" applyFont="1" applyFill="1"/>
    <xf numFmtId="0" fontId="24" fillId="9" borderId="0" xfId="0" applyFont="1" applyFill="1" applyAlignment="1">
      <alignment horizontal="right"/>
    </xf>
    <xf numFmtId="0" fontId="4" fillId="9" borderId="0" xfId="0" applyFont="1" applyFill="1" applyAlignment="1">
      <alignment horizontal="right"/>
    </xf>
    <xf numFmtId="0" fontId="3" fillId="9" borderId="0" xfId="0" applyFont="1" applyFill="1" applyAlignment="1">
      <alignment horizontal="right"/>
    </xf>
    <xf numFmtId="0" fontId="3" fillId="9" borderId="31" xfId="0" applyFont="1" applyFill="1" applyBorder="1" applyAlignment="1">
      <alignment horizontal="right"/>
    </xf>
    <xf numFmtId="0" fontId="3" fillId="9" borderId="28" xfId="0" applyFont="1" applyFill="1" applyBorder="1"/>
    <xf numFmtId="0" fontId="3" fillId="9" borderId="0" xfId="0" applyFont="1" applyFill="1"/>
    <xf numFmtId="0" fontId="4" fillId="19" borderId="0" xfId="0" applyFont="1" applyFill="1" applyProtection="1">
      <protection locked="0"/>
    </xf>
    <xf numFmtId="0" fontId="57" fillId="9" borderId="0" xfId="0" applyFont="1" applyFill="1"/>
    <xf numFmtId="1" fontId="4" fillId="19" borderId="0" xfId="0" applyNumberFormat="1" applyFont="1" applyFill="1" applyProtection="1">
      <protection locked="0"/>
    </xf>
    <xf numFmtId="0" fontId="58" fillId="9" borderId="0" xfId="0" applyFont="1" applyFill="1"/>
    <xf numFmtId="0" fontId="7" fillId="9" borderId="0" xfId="0" applyFont="1" applyFill="1" applyAlignment="1">
      <alignment horizontal="right"/>
    </xf>
    <xf numFmtId="0" fontId="56" fillId="9" borderId="0" xfId="0" applyFont="1" applyFill="1"/>
    <xf numFmtId="0" fontId="59" fillId="9" borderId="0" xfId="0" applyFont="1" applyFill="1"/>
    <xf numFmtId="0" fontId="4" fillId="9" borderId="0" xfId="0" applyFont="1" applyFill="1"/>
    <xf numFmtId="169" fontId="4" fillId="9" borderId="0" xfId="0" applyNumberFormat="1" applyFont="1" applyFill="1"/>
    <xf numFmtId="0" fontId="3" fillId="16" borderId="0" xfId="0" applyFont="1" applyFill="1"/>
    <xf numFmtId="0" fontId="4" fillId="9" borderId="28" xfId="0" applyFont="1" applyFill="1" applyBorder="1"/>
    <xf numFmtId="0" fontId="59" fillId="16" borderId="0" xfId="0" applyFont="1" applyFill="1"/>
    <xf numFmtId="1" fontId="56" fillId="9" borderId="0" xfId="0" applyNumberFormat="1" applyFont="1" applyFill="1" applyAlignment="1">
      <alignment horizontal="right"/>
    </xf>
    <xf numFmtId="0" fontId="61" fillId="15" borderId="19" xfId="0" applyFont="1" applyFill="1" applyBorder="1"/>
    <xf numFmtId="0" fontId="59" fillId="9" borderId="0" xfId="0" applyFont="1" applyFill="1" applyAlignment="1">
      <alignment vertical="center"/>
    </xf>
    <xf numFmtId="0" fontId="8" fillId="9" borderId="0" xfId="0" applyFont="1" applyFill="1" applyAlignment="1">
      <alignment horizontal="right"/>
    </xf>
    <xf numFmtId="169" fontId="8" fillId="9" borderId="0" xfId="0" applyNumberFormat="1" applyFont="1" applyFill="1"/>
    <xf numFmtId="0" fontId="8" fillId="9" borderId="0" xfId="0" applyFont="1" applyFill="1"/>
    <xf numFmtId="0" fontId="3" fillId="16" borderId="0" xfId="0" applyFont="1" applyFill="1" applyAlignment="1">
      <alignment horizontal="left"/>
    </xf>
    <xf numFmtId="1" fontId="3" fillId="16" borderId="0" xfId="0" applyNumberFormat="1" applyFont="1" applyFill="1" applyAlignment="1">
      <alignment horizontal="right"/>
    </xf>
    <xf numFmtId="0" fontId="4" fillId="9" borderId="0" xfId="0" applyFont="1" applyFill="1" applyAlignment="1">
      <alignment horizontal="left"/>
    </xf>
    <xf numFmtId="0" fontId="62" fillId="9" borderId="0" xfId="0" applyFont="1" applyFill="1"/>
    <xf numFmtId="0" fontId="3" fillId="9" borderId="0" xfId="0" applyFont="1" applyFill="1" applyAlignment="1">
      <alignment horizontal="left"/>
    </xf>
    <xf numFmtId="0" fontId="60" fillId="19" borderId="0" xfId="0" applyFont="1" applyFill="1" applyAlignment="1" applyProtection="1">
      <alignment horizontal="right"/>
      <protection locked="0" hidden="1"/>
    </xf>
    <xf numFmtId="0" fontId="63" fillId="15" borderId="19" xfId="0" applyFont="1" applyFill="1" applyBorder="1"/>
    <xf numFmtId="0" fontId="23" fillId="9" borderId="28" xfId="0" applyFont="1" applyFill="1" applyBorder="1"/>
    <xf numFmtId="1" fontId="3" fillId="9" borderId="0" xfId="0" applyNumberFormat="1" applyFont="1" applyFill="1"/>
    <xf numFmtId="0" fontId="65" fillId="9" borderId="0" xfId="0" applyFont="1" applyFill="1" applyAlignment="1">
      <alignment horizontal="right"/>
    </xf>
    <xf numFmtId="0" fontId="3" fillId="9" borderId="2" xfId="0" applyFont="1" applyFill="1" applyBorder="1"/>
    <xf numFmtId="0" fontId="3" fillId="9" borderId="2" xfId="0" applyFont="1" applyFill="1" applyBorder="1" applyAlignment="1">
      <alignment horizontal="right"/>
    </xf>
    <xf numFmtId="0" fontId="65" fillId="9" borderId="2" xfId="0" applyFont="1" applyFill="1" applyBorder="1" applyAlignment="1">
      <alignment horizontal="right"/>
    </xf>
    <xf numFmtId="0" fontId="4" fillId="9" borderId="3" xfId="0" applyFont="1" applyFill="1" applyBorder="1"/>
    <xf numFmtId="0" fontId="4" fillId="9" borderId="29" xfId="0" applyFont="1" applyFill="1" applyBorder="1"/>
    <xf numFmtId="0" fontId="3" fillId="9" borderId="30" xfId="0" applyFont="1" applyFill="1" applyBorder="1"/>
    <xf numFmtId="0" fontId="3" fillId="9" borderId="31" xfId="0" applyFont="1" applyFill="1" applyBorder="1"/>
    <xf numFmtId="0" fontId="3" fillId="9" borderId="32" xfId="0" applyFont="1" applyFill="1" applyBorder="1"/>
    <xf numFmtId="0" fontId="3" fillId="9" borderId="3" xfId="0" applyFont="1" applyFill="1" applyBorder="1"/>
    <xf numFmtId="0" fontId="3" fillId="9" borderId="29" xfId="0" applyFont="1" applyFill="1" applyBorder="1"/>
    <xf numFmtId="169" fontId="3" fillId="9" borderId="31" xfId="0" applyNumberFormat="1" applyFont="1" applyFill="1" applyBorder="1"/>
    <xf numFmtId="0" fontId="4" fillId="9" borderId="2" xfId="0" applyFont="1" applyFill="1" applyBorder="1"/>
    <xf numFmtId="0" fontId="4" fillId="9" borderId="2" xfId="0" applyFont="1" applyFill="1" applyBorder="1" applyAlignment="1">
      <alignment horizontal="right"/>
    </xf>
    <xf numFmtId="1" fontId="4" fillId="19" borderId="2" xfId="0" applyNumberFormat="1" applyFont="1" applyFill="1" applyBorder="1" applyProtection="1">
      <protection locked="0"/>
    </xf>
    <xf numFmtId="0" fontId="3" fillId="16" borderId="41" xfId="0" applyFont="1" applyFill="1" applyBorder="1" applyAlignment="1">
      <alignment horizontal="left"/>
    </xf>
    <xf numFmtId="0" fontId="60" fillId="19" borderId="41" xfId="0" applyFont="1" applyFill="1" applyBorder="1" applyAlignment="1" applyProtection="1">
      <alignment horizontal="right"/>
      <protection locked="0" hidden="1"/>
    </xf>
    <xf numFmtId="0" fontId="60" fillId="9" borderId="42" xfId="0" applyFont="1" applyFill="1" applyBorder="1" applyAlignment="1">
      <alignment horizontal="left"/>
    </xf>
    <xf numFmtId="0" fontId="60" fillId="9" borderId="29" xfId="0" applyFont="1" applyFill="1" applyBorder="1" applyAlignment="1">
      <alignment horizontal="left"/>
    </xf>
    <xf numFmtId="0" fontId="4" fillId="9" borderId="43" xfId="0" applyFont="1" applyFill="1" applyBorder="1" applyAlignment="1">
      <alignment horizontal="center"/>
    </xf>
    <xf numFmtId="0" fontId="4" fillId="9" borderId="28" xfId="0" applyFont="1" applyFill="1" applyBorder="1" applyAlignment="1">
      <alignment horizontal="center"/>
    </xf>
    <xf numFmtId="0" fontId="4" fillId="9" borderId="43" xfId="0" applyFont="1" applyFill="1" applyBorder="1"/>
    <xf numFmtId="0" fontId="4" fillId="9" borderId="41" xfId="0" applyFont="1" applyFill="1" applyBorder="1"/>
    <xf numFmtId="0" fontId="3" fillId="9" borderId="41" xfId="0" applyFont="1" applyFill="1" applyBorder="1"/>
    <xf numFmtId="0" fontId="3" fillId="9" borderId="42" xfId="0" applyFont="1" applyFill="1" applyBorder="1"/>
    <xf numFmtId="0" fontId="3" fillId="9" borderId="41" xfId="0" applyFont="1" applyFill="1" applyBorder="1" applyAlignment="1">
      <alignment vertical="center"/>
    </xf>
    <xf numFmtId="0" fontId="3" fillId="9" borderId="45" xfId="0" applyFont="1" applyFill="1" applyBorder="1"/>
    <xf numFmtId="0" fontId="4" fillId="9" borderId="45" xfId="0" applyFont="1" applyFill="1" applyBorder="1" applyAlignment="1">
      <alignment horizontal="right"/>
    </xf>
    <xf numFmtId="0" fontId="3" fillId="9" borderId="46" xfId="0" applyFont="1" applyFill="1" applyBorder="1"/>
    <xf numFmtId="0" fontId="3" fillId="16" borderId="45" xfId="0" applyFont="1" applyFill="1" applyBorder="1" applyAlignment="1">
      <alignment horizontal="left"/>
    </xf>
    <xf numFmtId="0" fontId="60" fillId="19" borderId="45" xfId="0" applyFont="1" applyFill="1" applyBorder="1" applyAlignment="1" applyProtection="1">
      <alignment horizontal="right"/>
      <protection locked="0" hidden="1"/>
    </xf>
    <xf numFmtId="0" fontId="60" fillId="9" borderId="46" xfId="0" applyFont="1" applyFill="1" applyBorder="1" applyAlignment="1">
      <alignment horizontal="left"/>
    </xf>
    <xf numFmtId="169" fontId="3" fillId="9" borderId="41" xfId="0" applyNumberFormat="1" applyFont="1" applyFill="1" applyBorder="1" applyAlignment="1">
      <alignment horizontal="left" vertical="center"/>
    </xf>
    <xf numFmtId="1" fontId="3" fillId="9" borderId="45" xfId="0" applyNumberFormat="1" applyFont="1" applyFill="1" applyBorder="1" applyAlignment="1">
      <alignment horizontal="left" vertical="center"/>
    </xf>
    <xf numFmtId="0" fontId="23" fillId="9" borderId="28" xfId="0" applyFont="1" applyFill="1" applyBorder="1" applyAlignment="1">
      <alignment vertical="center"/>
    </xf>
    <xf numFmtId="0" fontId="3" fillId="9" borderId="43" xfId="0" applyFont="1" applyFill="1" applyBorder="1"/>
    <xf numFmtId="0" fontId="3" fillId="16" borderId="28" xfId="0" applyFont="1" applyFill="1" applyBorder="1"/>
    <xf numFmtId="1" fontId="4" fillId="16" borderId="28" xfId="0" applyNumberFormat="1" applyFont="1" applyFill="1" applyBorder="1" applyAlignment="1">
      <alignment horizontal="right" vertical="center"/>
    </xf>
    <xf numFmtId="0" fontId="61" fillId="15" borderId="47" xfId="0" applyFont="1" applyFill="1" applyBorder="1"/>
    <xf numFmtId="0" fontId="18" fillId="3" borderId="28" xfId="0" applyFont="1" applyFill="1" applyBorder="1"/>
    <xf numFmtId="172" fontId="18" fillId="18" borderId="0" xfId="0" applyNumberFormat="1" applyFont="1" applyFill="1" applyAlignment="1">
      <alignment horizontal="center"/>
    </xf>
    <xf numFmtId="0" fontId="18" fillId="18" borderId="0" xfId="0" applyFont="1" applyFill="1"/>
    <xf numFmtId="172" fontId="26" fillId="18" borderId="0" xfId="0" applyNumberFormat="1" applyFont="1" applyFill="1" applyAlignment="1">
      <alignment horizontal="center"/>
    </xf>
    <xf numFmtId="0" fontId="26" fillId="18" borderId="0" xfId="0" applyFont="1" applyFill="1"/>
    <xf numFmtId="0" fontId="3" fillId="16" borderId="0" xfId="0" applyFont="1" applyFill="1" applyProtection="1">
      <protection locked="0"/>
    </xf>
    <xf numFmtId="0" fontId="3" fillId="9" borderId="44" xfId="0" applyFont="1" applyFill="1" applyBorder="1"/>
    <xf numFmtId="0" fontId="4" fillId="9" borderId="45" xfId="0" applyFont="1" applyFill="1" applyBorder="1"/>
    <xf numFmtId="0" fontId="3" fillId="9" borderId="48" xfId="0" applyFont="1" applyFill="1" applyBorder="1"/>
    <xf numFmtId="0" fontId="69" fillId="9" borderId="0" xfId="0" applyFont="1" applyFill="1"/>
    <xf numFmtId="0" fontId="69" fillId="9" borderId="29" xfId="0" applyFont="1" applyFill="1" applyBorder="1"/>
    <xf numFmtId="172" fontId="69" fillId="18" borderId="0" xfId="0" applyNumberFormat="1" applyFont="1" applyFill="1" applyAlignment="1">
      <alignment horizontal="center"/>
    </xf>
    <xf numFmtId="0" fontId="69" fillId="18" borderId="0" xfId="0" applyFont="1" applyFill="1"/>
    <xf numFmtId="172" fontId="69" fillId="3" borderId="0" xfId="0" applyNumberFormat="1" applyFont="1" applyFill="1" applyAlignment="1">
      <alignment horizontal="center"/>
    </xf>
    <xf numFmtId="0" fontId="69" fillId="3" borderId="0" xfId="0" applyFont="1" applyFill="1"/>
    <xf numFmtId="0" fontId="67" fillId="9" borderId="41" xfId="0" applyFont="1" applyFill="1" applyBorder="1" applyAlignment="1">
      <alignment horizontal="right"/>
    </xf>
    <xf numFmtId="0" fontId="3" fillId="16" borderId="31" xfId="0" applyFont="1" applyFill="1" applyBorder="1"/>
    <xf numFmtId="0" fontId="18" fillId="9" borderId="31" xfId="0" applyFont="1" applyFill="1" applyBorder="1"/>
    <xf numFmtId="0" fontId="18" fillId="9" borderId="32" xfId="0" applyFont="1" applyFill="1" applyBorder="1"/>
    <xf numFmtId="0" fontId="68" fillId="9" borderId="28" xfId="0" applyFont="1" applyFill="1" applyBorder="1" applyAlignment="1">
      <alignment vertical="center"/>
    </xf>
    <xf numFmtId="0" fontId="67" fillId="9" borderId="0" xfId="0" applyFont="1" applyFill="1" applyAlignment="1">
      <alignment horizontal="right" vertical="center"/>
    </xf>
    <xf numFmtId="169" fontId="67" fillId="9" borderId="45" xfId="0" applyNumberFormat="1" applyFont="1" applyFill="1" applyBorder="1" applyAlignment="1">
      <alignment horizontal="center" vertical="center"/>
    </xf>
    <xf numFmtId="0" fontId="67" fillId="0" borderId="0" xfId="0" applyFont="1" applyAlignment="1">
      <alignment horizontal="left" vertical="center"/>
    </xf>
    <xf numFmtId="0" fontId="3" fillId="0" borderId="1" xfId="0" applyFont="1" applyBorder="1"/>
    <xf numFmtId="0" fontId="3" fillId="0" borderId="28" xfId="0" applyFont="1" applyBorder="1"/>
    <xf numFmtId="2" fontId="0" fillId="0" borderId="0" xfId="0" applyNumberFormat="1" applyAlignment="1">
      <alignment horizontal="right"/>
    </xf>
    <xf numFmtId="0" fontId="72" fillId="0" borderId="0" xfId="0" applyFont="1"/>
    <xf numFmtId="0" fontId="3" fillId="9" borderId="0" xfId="3" applyFill="1"/>
    <xf numFmtId="49" fontId="3" fillId="9" borderId="0" xfId="3" applyNumberFormat="1" applyFill="1"/>
    <xf numFmtId="0" fontId="12" fillId="9" borderId="0" xfId="3" applyFont="1" applyFill="1" applyAlignment="1">
      <alignment vertical="center"/>
    </xf>
    <xf numFmtId="0" fontId="3" fillId="20" borderId="18" xfId="3" applyFill="1" applyBorder="1" applyAlignment="1">
      <alignment horizontal="center" vertical="center"/>
    </xf>
    <xf numFmtId="0" fontId="3" fillId="9" borderId="18" xfId="3" applyFill="1" applyBorder="1" applyAlignment="1">
      <alignment horizontal="center" vertical="center"/>
    </xf>
    <xf numFmtId="0" fontId="3" fillId="9" borderId="11" xfId="3" applyFill="1" applyBorder="1" applyAlignment="1">
      <alignment vertical="center" wrapText="1"/>
    </xf>
    <xf numFmtId="0" fontId="3" fillId="9" borderId="11" xfId="3" applyFill="1" applyBorder="1" applyAlignment="1">
      <alignment horizontal="left" vertical="center"/>
    </xf>
    <xf numFmtId="0" fontId="3" fillId="9" borderId="0" xfId="3" applyFill="1" applyAlignment="1">
      <alignment vertical="center"/>
    </xf>
    <xf numFmtId="49" fontId="3" fillId="9" borderId="0" xfId="3" applyNumberFormat="1" applyFill="1" applyAlignment="1">
      <alignment vertical="center"/>
    </xf>
    <xf numFmtId="0" fontId="3" fillId="21" borderId="18" xfId="3" applyFill="1" applyBorder="1" applyAlignment="1">
      <alignment horizontal="center" vertical="center"/>
    </xf>
    <xf numFmtId="0" fontId="3" fillId="21" borderId="11" xfId="3" applyFill="1" applyBorder="1" applyAlignment="1">
      <alignment vertical="center" wrapText="1"/>
    </xf>
    <xf numFmtId="174" fontId="3" fillId="21" borderId="11" xfId="3" applyNumberFormat="1" applyFill="1" applyBorder="1" applyAlignment="1">
      <alignment horizontal="center" vertical="center"/>
    </xf>
    <xf numFmtId="0" fontId="3" fillId="21" borderId="11" xfId="3" quotePrefix="1" applyFill="1" applyBorder="1" applyAlignment="1">
      <alignment horizontal="left" vertical="center"/>
    </xf>
    <xf numFmtId="0" fontId="3" fillId="21" borderId="11" xfId="3" applyFill="1" applyBorder="1" applyAlignment="1">
      <alignment horizontal="left" vertical="center"/>
    </xf>
    <xf numFmtId="0" fontId="3" fillId="16" borderId="18" xfId="3" applyFill="1" applyBorder="1" applyAlignment="1">
      <alignment horizontal="center" vertical="center"/>
    </xf>
    <xf numFmtId="0" fontId="3" fillId="16" borderId="11" xfId="3" applyFill="1" applyBorder="1" applyAlignment="1">
      <alignment vertical="center" wrapText="1"/>
    </xf>
    <xf numFmtId="174" fontId="3" fillId="16" borderId="11" xfId="3" applyNumberFormat="1" applyFill="1" applyBorder="1" applyAlignment="1">
      <alignment horizontal="center" vertical="center"/>
    </xf>
    <xf numFmtId="0" fontId="3" fillId="16" borderId="11" xfId="3" quotePrefix="1" applyFill="1" applyBorder="1" applyAlignment="1">
      <alignment horizontal="left" vertical="center"/>
    </xf>
    <xf numFmtId="0" fontId="3" fillId="16" borderId="11" xfId="3" applyFill="1" applyBorder="1" applyAlignment="1">
      <alignment horizontal="left" vertical="center"/>
    </xf>
    <xf numFmtId="176" fontId="3" fillId="9" borderId="11" xfId="3" applyNumberFormat="1" applyFill="1" applyBorder="1" applyAlignment="1">
      <alignment horizontal="center" vertical="center"/>
    </xf>
    <xf numFmtId="0" fontId="3" fillId="9" borderId="15" xfId="3" applyFill="1" applyBorder="1" applyAlignment="1">
      <alignment horizontal="left" vertical="center"/>
    </xf>
    <xf numFmtId="49" fontId="3" fillId="9" borderId="11" xfId="3" applyNumberFormat="1" applyFill="1" applyBorder="1" applyAlignment="1">
      <alignment horizontal="left" vertical="center"/>
    </xf>
    <xf numFmtId="0" fontId="3" fillId="20" borderId="11" xfId="3" applyFill="1" applyBorder="1" applyAlignment="1">
      <alignment vertical="center" wrapText="1"/>
    </xf>
    <xf numFmtId="175" fontId="3" fillId="20" borderId="11" xfId="3" applyNumberFormat="1" applyFill="1" applyBorder="1" applyAlignment="1">
      <alignment horizontal="center" vertical="center"/>
    </xf>
    <xf numFmtId="0" fontId="3" fillId="20" borderId="15" xfId="3" applyFill="1" applyBorder="1" applyAlignment="1">
      <alignment horizontal="left" vertical="center"/>
    </xf>
    <xf numFmtId="0" fontId="3" fillId="20" borderId="11" xfId="3" quotePrefix="1" applyFill="1" applyBorder="1" applyAlignment="1">
      <alignment horizontal="left" vertical="center"/>
    </xf>
    <xf numFmtId="0" fontId="3" fillId="20" borderId="11" xfId="3" applyFill="1" applyBorder="1" applyAlignment="1">
      <alignment horizontal="left" vertical="center"/>
    </xf>
    <xf numFmtId="175" fontId="3" fillId="16" borderId="11" xfId="3" applyNumberFormat="1" applyFill="1" applyBorder="1" applyAlignment="1">
      <alignment horizontal="center" vertical="center"/>
    </xf>
    <xf numFmtId="0" fontId="3" fillId="16" borderId="15" xfId="3" applyFill="1" applyBorder="1" applyAlignment="1">
      <alignment horizontal="left" vertical="center"/>
    </xf>
    <xf numFmtId="176" fontId="3" fillId="16" borderId="11" xfId="3" applyNumberFormat="1" applyFill="1" applyBorder="1" applyAlignment="1">
      <alignment horizontal="center" vertical="center"/>
    </xf>
    <xf numFmtId="176" fontId="3" fillId="20" borderId="11" xfId="3" applyNumberFormat="1" applyFill="1" applyBorder="1" applyAlignment="1">
      <alignment horizontal="center" vertical="center"/>
    </xf>
    <xf numFmtId="173" fontId="3" fillId="20" borderId="11" xfId="3" applyNumberFormat="1" applyFill="1" applyBorder="1" applyAlignment="1">
      <alignment horizontal="center" vertical="center"/>
    </xf>
    <xf numFmtId="0" fontId="3" fillId="16" borderId="11" xfId="3" applyFill="1" applyBorder="1" applyAlignment="1">
      <alignment horizontal="center" vertical="center"/>
    </xf>
    <xf numFmtId="49" fontId="3" fillId="16" borderId="11" xfId="3" applyNumberFormat="1" applyFill="1" applyBorder="1" applyAlignment="1">
      <alignment horizontal="left" vertical="center"/>
    </xf>
    <xf numFmtId="182" fontId="3" fillId="20" borderId="11" xfId="3" applyNumberFormat="1" applyFill="1" applyBorder="1" applyAlignment="1">
      <alignment horizontal="center" vertical="center"/>
    </xf>
    <xf numFmtId="0" fontId="3" fillId="16" borderId="0" xfId="3" applyFill="1"/>
    <xf numFmtId="49" fontId="3" fillId="16" borderId="0" xfId="3" applyNumberFormat="1" applyFill="1"/>
    <xf numFmtId="0" fontId="4" fillId="19" borderId="45" xfId="0" applyFont="1" applyFill="1" applyBorder="1" applyProtection="1">
      <protection locked="0"/>
    </xf>
    <xf numFmtId="0" fontId="4" fillId="19" borderId="0" xfId="0" applyFont="1" applyFill="1" applyAlignment="1" applyProtection="1">
      <alignment horizontal="right"/>
      <protection locked="0"/>
    </xf>
    <xf numFmtId="0" fontId="4" fillId="19" borderId="45" xfId="0" applyFont="1" applyFill="1" applyBorder="1" applyAlignment="1" applyProtection="1">
      <alignment horizontal="right"/>
      <protection locked="0"/>
    </xf>
    <xf numFmtId="0" fontId="74" fillId="16" borderId="0" xfId="0" applyFont="1" applyFill="1"/>
    <xf numFmtId="169" fontId="4" fillId="19" borderId="0" xfId="0" applyNumberFormat="1" applyFont="1" applyFill="1" applyProtection="1">
      <protection locked="0"/>
    </xf>
    <xf numFmtId="0" fontId="4" fillId="9" borderId="0" xfId="3" applyFont="1" applyFill="1"/>
    <xf numFmtId="0" fontId="62" fillId="9" borderId="41" xfId="0" applyFont="1" applyFill="1" applyBorder="1" applyProtection="1">
      <protection locked="0"/>
    </xf>
    <xf numFmtId="1" fontId="0" fillId="4" borderId="0" xfId="0" applyNumberFormat="1" applyFill="1"/>
    <xf numFmtId="0" fontId="3" fillId="9" borderId="0" xfId="0" applyFont="1" applyFill="1" applyAlignment="1">
      <alignment vertical="center"/>
    </xf>
    <xf numFmtId="0" fontId="3" fillId="9" borderId="28" xfId="0" applyFont="1" applyFill="1" applyBorder="1" applyAlignment="1">
      <alignment vertical="center"/>
    </xf>
    <xf numFmtId="0" fontId="3" fillId="9" borderId="0" xfId="0" applyFont="1" applyFill="1" applyAlignment="1">
      <alignment horizontal="right" vertical="center"/>
    </xf>
    <xf numFmtId="169" fontId="3" fillId="9" borderId="0" xfId="0" applyNumberFormat="1" applyFont="1" applyFill="1" applyAlignment="1">
      <alignment vertical="center"/>
    </xf>
    <xf numFmtId="0" fontId="3" fillId="9" borderId="29" xfId="0" applyFont="1" applyFill="1" applyBorder="1" applyAlignment="1">
      <alignment vertical="center"/>
    </xf>
    <xf numFmtId="1" fontId="3" fillId="9" borderId="0" xfId="0" applyNumberFormat="1" applyFont="1" applyFill="1" applyAlignment="1">
      <alignment vertical="center"/>
    </xf>
    <xf numFmtId="0" fontId="3" fillId="9" borderId="30" xfId="0" applyFont="1" applyFill="1" applyBorder="1" applyAlignment="1">
      <alignment vertical="center"/>
    </xf>
    <xf numFmtId="0" fontId="3" fillId="9" borderId="31" xfId="0" applyFont="1" applyFill="1" applyBorder="1" applyAlignment="1">
      <alignment vertical="center"/>
    </xf>
    <xf numFmtId="0" fontId="3" fillId="9" borderId="31" xfId="0" applyFont="1" applyFill="1" applyBorder="1" applyAlignment="1">
      <alignment horizontal="right" vertical="center"/>
    </xf>
    <xf numFmtId="1" fontId="3" fillId="9" borderId="31" xfId="0" applyNumberFormat="1" applyFont="1" applyFill="1" applyBorder="1" applyAlignment="1">
      <alignment vertical="center"/>
    </xf>
    <xf numFmtId="0" fontId="3" fillId="9" borderId="32" xfId="0" applyFont="1" applyFill="1" applyBorder="1" applyAlignment="1">
      <alignment vertical="center"/>
    </xf>
    <xf numFmtId="0" fontId="3" fillId="9" borderId="43" xfId="0" applyFont="1" applyFill="1" applyBorder="1" applyAlignment="1">
      <alignment vertical="center"/>
    </xf>
    <xf numFmtId="0" fontId="3" fillId="9" borderId="2" xfId="0" applyFont="1" applyFill="1" applyBorder="1" applyAlignment="1">
      <alignment vertical="center"/>
    </xf>
    <xf numFmtId="0" fontId="3" fillId="9" borderId="2" xfId="0" applyFont="1" applyFill="1" applyBorder="1" applyAlignment="1">
      <alignment horizontal="right" vertical="center"/>
    </xf>
    <xf numFmtId="0" fontId="65" fillId="9" borderId="2" xfId="0" applyFont="1" applyFill="1" applyBorder="1" applyAlignment="1">
      <alignment horizontal="right" vertical="center"/>
    </xf>
    <xf numFmtId="0" fontId="4" fillId="19" borderId="2" xfId="0" applyFont="1" applyFill="1" applyBorder="1" applyAlignment="1" applyProtection="1">
      <alignment vertical="center"/>
      <protection locked="0"/>
    </xf>
    <xf numFmtId="0" fontId="4" fillId="9" borderId="3" xfId="0" applyFont="1" applyFill="1" applyBorder="1" applyAlignment="1">
      <alignment vertical="center"/>
    </xf>
    <xf numFmtId="0" fontId="65" fillId="9" borderId="0" xfId="0" applyFont="1" applyFill="1" applyAlignment="1">
      <alignment horizontal="right" vertical="center"/>
    </xf>
    <xf numFmtId="0" fontId="4" fillId="19" borderId="0" xfId="0" applyFont="1" applyFill="1" applyAlignment="1" applyProtection="1">
      <alignment vertical="center"/>
      <protection locked="0"/>
    </xf>
    <xf numFmtId="0" fontId="4" fillId="9" borderId="29" xfId="0" applyFont="1" applyFill="1" applyBorder="1" applyAlignment="1">
      <alignment vertical="center"/>
    </xf>
    <xf numFmtId="1" fontId="4" fillId="19" borderId="0" xfId="0" applyNumberFormat="1" applyFont="1" applyFill="1" applyAlignment="1" applyProtection="1">
      <alignment vertical="center"/>
      <protection locked="0"/>
    </xf>
    <xf numFmtId="0" fontId="65" fillId="16" borderId="2" xfId="0" applyFont="1" applyFill="1" applyBorder="1" applyAlignment="1">
      <alignment horizontal="right" vertical="center"/>
    </xf>
    <xf numFmtId="1" fontId="3" fillId="9" borderId="0" xfId="0" applyNumberFormat="1" applyFont="1" applyFill="1" applyAlignment="1">
      <alignment horizontal="right" vertical="center"/>
    </xf>
    <xf numFmtId="0" fontId="65" fillId="16" borderId="0" xfId="0" applyFont="1" applyFill="1" applyAlignment="1">
      <alignment horizontal="right" vertical="center"/>
    </xf>
    <xf numFmtId="0" fontId="4" fillId="9" borderId="0" xfId="0" applyFont="1" applyFill="1" applyAlignment="1">
      <alignment vertical="center"/>
    </xf>
    <xf numFmtId="0" fontId="4" fillId="9" borderId="0" xfId="0" applyFont="1" applyFill="1" applyAlignment="1">
      <alignment horizontal="right" vertical="center"/>
    </xf>
    <xf numFmtId="0" fontId="4" fillId="19" borderId="0" xfId="0" applyFont="1" applyFill="1" applyAlignment="1" applyProtection="1">
      <alignment horizontal="right" vertical="center"/>
      <protection locked="0"/>
    </xf>
    <xf numFmtId="0" fontId="3" fillId="9" borderId="45" xfId="0" applyFont="1" applyFill="1" applyBorder="1" applyAlignment="1">
      <alignment horizontal="right" vertical="center"/>
    </xf>
    <xf numFmtId="2" fontId="3" fillId="9" borderId="0" xfId="0" applyNumberFormat="1" applyFont="1" applyFill="1" applyAlignment="1">
      <alignment horizontal="right" vertical="center"/>
    </xf>
    <xf numFmtId="0" fontId="3" fillId="9" borderId="44" xfId="0" applyFont="1" applyFill="1" applyBorder="1" applyAlignment="1">
      <alignment vertical="center"/>
    </xf>
    <xf numFmtId="0" fontId="3" fillId="9" borderId="45" xfId="0" applyFont="1" applyFill="1" applyBorder="1" applyAlignment="1">
      <alignment vertical="center"/>
    </xf>
    <xf numFmtId="0" fontId="3" fillId="9" borderId="46" xfId="0" applyFont="1" applyFill="1" applyBorder="1" applyAlignment="1">
      <alignment vertical="center"/>
    </xf>
    <xf numFmtId="0" fontId="3" fillId="9" borderId="3" xfId="0" applyFont="1" applyFill="1" applyBorder="1" applyAlignment="1">
      <alignment vertical="center"/>
    </xf>
    <xf numFmtId="1" fontId="65" fillId="19" borderId="0" xfId="0" applyNumberFormat="1" applyFont="1" applyFill="1" applyAlignment="1" applyProtection="1">
      <alignment horizontal="right" vertical="center"/>
      <protection locked="0"/>
    </xf>
    <xf numFmtId="0" fontId="4" fillId="9" borderId="29" xfId="0" applyFont="1" applyFill="1" applyBorder="1" applyAlignment="1">
      <alignment horizontal="left" vertical="center"/>
    </xf>
    <xf numFmtId="0" fontId="65" fillId="19" borderId="0" xfId="0" applyFont="1" applyFill="1" applyAlignment="1" applyProtection="1">
      <alignment vertical="center"/>
      <protection locked="0"/>
    </xf>
    <xf numFmtId="2" fontId="8" fillId="12" borderId="2" xfId="0" applyNumberFormat="1" applyFont="1" applyFill="1" applyBorder="1"/>
    <xf numFmtId="2" fontId="8" fillId="12" borderId="0" xfId="0" applyNumberFormat="1" applyFont="1" applyFill="1"/>
    <xf numFmtId="11" fontId="8" fillId="12" borderId="0" xfId="0" applyNumberFormat="1" applyFont="1" applyFill="1"/>
    <xf numFmtId="170" fontId="8" fillId="12" borderId="0" xfId="0" applyNumberFormat="1" applyFont="1" applyFill="1"/>
    <xf numFmtId="0" fontId="0" fillId="0" borderId="41" xfId="0" applyBorder="1"/>
    <xf numFmtId="0" fontId="0" fillId="22" borderId="0" xfId="0" applyFill="1"/>
    <xf numFmtId="0" fontId="3" fillId="0" borderId="0" xfId="0" applyFont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3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41" xfId="0" applyFont="1" applyBorder="1"/>
    <xf numFmtId="0" fontId="4" fillId="0" borderId="31" xfId="0" applyFont="1" applyBorder="1"/>
    <xf numFmtId="0" fontId="4" fillId="0" borderId="0" xfId="0" applyFont="1" applyAlignment="1">
      <alignment horizontal="left"/>
    </xf>
    <xf numFmtId="168" fontId="8" fillId="12" borderId="0" xfId="0" applyNumberFormat="1" applyFont="1" applyFill="1"/>
    <xf numFmtId="168" fontId="9" fillId="12" borderId="0" xfId="0" applyNumberFormat="1" applyFont="1" applyFill="1"/>
    <xf numFmtId="168" fontId="4" fillId="22" borderId="2" xfId="0" applyNumberFormat="1" applyFont="1" applyFill="1" applyBorder="1"/>
    <xf numFmtId="0" fontId="4" fillId="19" borderId="2" xfId="0" applyFont="1" applyFill="1" applyBorder="1" applyProtection="1">
      <protection locked="0"/>
    </xf>
    <xf numFmtId="0" fontId="64" fillId="16" borderId="0" xfId="0" applyFont="1" applyFill="1" applyAlignment="1">
      <alignment horizontal="center"/>
    </xf>
    <xf numFmtId="169" fontId="3" fillId="9" borderId="0" xfId="0" applyNumberFormat="1" applyFont="1" applyFill="1"/>
    <xf numFmtId="2" fontId="0" fillId="13" borderId="0" xfId="0" applyNumberFormat="1" applyFill="1"/>
    <xf numFmtId="2" fontId="0" fillId="22" borderId="0" xfId="0" applyNumberFormat="1" applyFill="1"/>
    <xf numFmtId="1" fontId="0" fillId="12" borderId="0" xfId="0" applyNumberFormat="1" applyFill="1"/>
    <xf numFmtId="167" fontId="0" fillId="22" borderId="0" xfId="0" applyNumberFormat="1" applyFill="1"/>
    <xf numFmtId="167" fontId="0" fillId="12" borderId="0" xfId="0" applyNumberFormat="1" applyFill="1"/>
    <xf numFmtId="3" fontId="0" fillId="12" borderId="0" xfId="0" applyNumberFormat="1" applyFill="1"/>
    <xf numFmtId="1" fontId="0" fillId="22" borderId="0" xfId="0" applyNumberFormat="1" applyFill="1"/>
    <xf numFmtId="1" fontId="0" fillId="0" borderId="0" xfId="0" applyNumberFormat="1"/>
    <xf numFmtId="1" fontId="0" fillId="24" borderId="0" xfId="0" applyNumberFormat="1" applyFill="1"/>
    <xf numFmtId="167" fontId="0" fillId="0" borderId="0" xfId="0" applyNumberFormat="1"/>
    <xf numFmtId="0" fontId="0" fillId="23" borderId="0" xfId="0" applyFill="1"/>
    <xf numFmtId="169" fontId="0" fillId="22" borderId="0" xfId="0" applyNumberFormat="1" applyFill="1"/>
    <xf numFmtId="0" fontId="3" fillId="0" borderId="41" xfId="0" applyFont="1" applyBorder="1"/>
    <xf numFmtId="169" fontId="0" fillId="12" borderId="2" xfId="0" applyNumberFormat="1" applyFill="1" applyBorder="1"/>
    <xf numFmtId="0" fontId="3" fillId="0" borderId="30" xfId="0" applyFont="1" applyBorder="1"/>
    <xf numFmtId="0" fontId="8" fillId="0" borderId="31" xfId="0" applyFont="1" applyBorder="1"/>
    <xf numFmtId="0" fontId="4" fillId="0" borderId="54" xfId="0" applyFont="1" applyBorder="1"/>
    <xf numFmtId="0" fontId="0" fillId="24" borderId="0" xfId="0" applyFill="1"/>
    <xf numFmtId="0" fontId="16" fillId="0" borderId="34" xfId="0" applyFont="1" applyBorder="1"/>
    <xf numFmtId="0" fontId="3" fillId="0" borderId="0" xfId="3"/>
    <xf numFmtId="0" fontId="3" fillId="0" borderId="18" xfId="3" applyBorder="1" applyAlignment="1">
      <alignment horizontal="left"/>
    </xf>
    <xf numFmtId="0" fontId="3" fillId="0" borderId="11" xfId="3" applyBorder="1"/>
    <xf numFmtId="0" fontId="3" fillId="0" borderId="58" xfId="3" applyBorder="1"/>
    <xf numFmtId="0" fontId="3" fillId="0" borderId="18" xfId="3" applyBorder="1"/>
    <xf numFmtId="1" fontId="3" fillId="0" borderId="11" xfId="3" applyNumberFormat="1" applyBorder="1"/>
    <xf numFmtId="0" fontId="3" fillId="0" borderId="15" xfId="3" applyBorder="1"/>
    <xf numFmtId="0" fontId="3" fillId="8" borderId="18" xfId="3" applyFill="1" applyBorder="1"/>
    <xf numFmtId="0" fontId="3" fillId="8" borderId="11" xfId="3" applyFill="1" applyBorder="1"/>
    <xf numFmtId="0" fontId="3" fillId="8" borderId="58" xfId="3" applyFill="1" applyBorder="1"/>
    <xf numFmtId="169" fontId="3" fillId="0" borderId="11" xfId="3" applyNumberFormat="1" applyBorder="1"/>
    <xf numFmtId="0" fontId="8" fillId="0" borderId="5" xfId="3" applyFont="1" applyBorder="1" applyAlignment="1">
      <alignment horizontal="center"/>
    </xf>
    <xf numFmtId="0" fontId="8" fillId="0" borderId="6" xfId="3" applyFont="1" applyBorder="1" applyAlignment="1">
      <alignment horizontal="center"/>
    </xf>
    <xf numFmtId="0" fontId="8" fillId="0" borderId="7" xfId="3" applyFont="1" applyBorder="1" applyAlignment="1">
      <alignment horizontal="center"/>
    </xf>
    <xf numFmtId="0" fontId="8" fillId="0" borderId="0" xfId="3" applyFont="1" applyAlignment="1">
      <alignment horizontal="center"/>
    </xf>
    <xf numFmtId="0" fontId="8" fillId="0" borderId="18" xfId="3" applyFont="1" applyBorder="1"/>
    <xf numFmtId="0" fontId="8" fillId="0" borderId="58" xfId="3" applyFont="1" applyBorder="1"/>
    <xf numFmtId="0" fontId="3" fillId="0" borderId="66" xfId="3" applyBorder="1" applyAlignment="1">
      <alignment horizontal="center"/>
    </xf>
    <xf numFmtId="167" fontId="3" fillId="0" borderId="67" xfId="3" applyNumberFormat="1" applyBorder="1" applyAlignment="1">
      <alignment horizontal="center"/>
    </xf>
    <xf numFmtId="167" fontId="3" fillId="0" borderId="12" xfId="3" applyNumberFormat="1" applyBorder="1" applyAlignment="1">
      <alignment horizontal="center"/>
    </xf>
    <xf numFmtId="167" fontId="3" fillId="0" borderId="68" xfId="3" applyNumberFormat="1" applyBorder="1" applyAlignment="1">
      <alignment horizontal="center"/>
    </xf>
    <xf numFmtId="167" fontId="3" fillId="0" borderId="69" xfId="3" applyNumberFormat="1" applyBorder="1" applyAlignment="1">
      <alignment horizontal="center"/>
    </xf>
    <xf numFmtId="165" fontId="3" fillId="0" borderId="67" xfId="3" applyNumberFormat="1" applyBorder="1" applyAlignment="1">
      <alignment horizontal="center"/>
    </xf>
    <xf numFmtId="165" fontId="3" fillId="0" borderId="68" xfId="3" applyNumberFormat="1" applyBorder="1" applyAlignment="1">
      <alignment horizontal="center"/>
    </xf>
    <xf numFmtId="2" fontId="3" fillId="0" borderId="67" xfId="3" applyNumberFormat="1" applyBorder="1" applyAlignment="1">
      <alignment horizontal="center"/>
    </xf>
    <xf numFmtId="2" fontId="3" fillId="0" borderId="12" xfId="3" applyNumberFormat="1" applyBorder="1" applyAlignment="1">
      <alignment horizontal="center"/>
    </xf>
    <xf numFmtId="2" fontId="3" fillId="0" borderId="18" xfId="3" applyNumberFormat="1" applyBorder="1" applyAlignment="1">
      <alignment horizontal="center"/>
    </xf>
    <xf numFmtId="2" fontId="3" fillId="0" borderId="58" xfId="3" applyNumberFormat="1" applyBorder="1" applyAlignment="1">
      <alignment horizontal="center"/>
    </xf>
    <xf numFmtId="0" fontId="3" fillId="0" borderId="63" xfId="3" applyBorder="1" applyAlignment="1">
      <alignment horizontal="center"/>
    </xf>
    <xf numFmtId="167" fontId="3" fillId="0" borderId="11" xfId="3" applyNumberFormat="1" applyBorder="1" applyAlignment="1">
      <alignment horizontal="center"/>
    </xf>
    <xf numFmtId="167" fontId="3" fillId="0" borderId="58" xfId="3" applyNumberFormat="1" applyBorder="1" applyAlignment="1">
      <alignment horizontal="center"/>
    </xf>
    <xf numFmtId="0" fontId="3" fillId="0" borderId="0" xfId="3" applyAlignment="1">
      <alignment horizontal="center"/>
    </xf>
    <xf numFmtId="167" fontId="3" fillId="0" borderId="0" xfId="3" applyNumberFormat="1" applyAlignment="1">
      <alignment horizontal="center"/>
    </xf>
    <xf numFmtId="165" fontId="3" fillId="0" borderId="0" xfId="3" applyNumberFormat="1" applyAlignment="1">
      <alignment horizontal="center"/>
    </xf>
    <xf numFmtId="2" fontId="3" fillId="0" borderId="0" xfId="3" applyNumberFormat="1" applyAlignment="1">
      <alignment horizontal="center"/>
    </xf>
    <xf numFmtId="0" fontId="3" fillId="0" borderId="0" xfId="3" applyAlignment="1">
      <alignment horizontal="right"/>
    </xf>
    <xf numFmtId="167" fontId="3" fillId="0" borderId="18" xfId="3" applyNumberFormat="1" applyBorder="1" applyAlignment="1">
      <alignment horizontal="center"/>
    </xf>
    <xf numFmtId="167" fontId="3" fillId="0" borderId="8" xfId="3" applyNumberFormat="1" applyBorder="1" applyAlignment="1">
      <alignment horizontal="center"/>
    </xf>
    <xf numFmtId="2" fontId="3" fillId="0" borderId="5" xfId="3" applyNumberFormat="1" applyBorder="1" applyAlignment="1">
      <alignment horizontal="center"/>
    </xf>
    <xf numFmtId="2" fontId="3" fillId="0" borderId="7" xfId="3" applyNumberFormat="1" applyBorder="1" applyAlignment="1">
      <alignment horizontal="center"/>
    </xf>
    <xf numFmtId="2" fontId="3" fillId="0" borderId="0" xfId="3" applyNumberFormat="1"/>
    <xf numFmtId="168" fontId="0" fillId="0" borderId="0" xfId="0" applyNumberFormat="1"/>
    <xf numFmtId="1" fontId="8" fillId="12" borderId="0" xfId="0" applyNumberFormat="1" applyFont="1" applyFill="1"/>
    <xf numFmtId="0" fontId="62" fillId="0" borderId="0" xfId="0" applyFont="1"/>
    <xf numFmtId="0" fontId="3" fillId="4" borderId="70" xfId="3" applyFill="1" applyBorder="1" applyAlignment="1">
      <alignment vertical="center"/>
    </xf>
    <xf numFmtId="0" fontId="3" fillId="0" borderId="71" xfId="3" applyBorder="1" applyAlignment="1">
      <alignment horizontal="center"/>
    </xf>
    <xf numFmtId="2" fontId="3" fillId="0" borderId="11" xfId="3" applyNumberFormat="1" applyBorder="1"/>
    <xf numFmtId="2" fontId="3" fillId="0" borderId="58" xfId="3" applyNumberFormat="1" applyBorder="1"/>
    <xf numFmtId="2" fontId="8" fillId="0" borderId="7" xfId="3" applyNumberFormat="1" applyFont="1" applyBorder="1" applyAlignment="1">
      <alignment horizontal="center"/>
    </xf>
    <xf numFmtId="2" fontId="3" fillId="0" borderId="68" xfId="3" applyNumberFormat="1" applyBorder="1"/>
    <xf numFmtId="1" fontId="3" fillId="9" borderId="2" xfId="0" applyNumberFormat="1" applyFont="1" applyFill="1" applyBorder="1" applyAlignment="1">
      <alignment vertical="center"/>
    </xf>
    <xf numFmtId="0" fontId="4" fillId="9" borderId="44" xfId="0" applyFont="1" applyFill="1" applyBorder="1" applyAlignment="1">
      <alignment horizontal="center"/>
    </xf>
    <xf numFmtId="11" fontId="3" fillId="0" borderId="0" xfId="0" applyNumberFormat="1" applyFont="1"/>
    <xf numFmtId="1" fontId="3" fillId="0" borderId="0" xfId="0" applyNumberFormat="1" applyFont="1"/>
    <xf numFmtId="1" fontId="3" fillId="12" borderId="0" xfId="0" applyNumberFormat="1" applyFont="1" applyFill="1"/>
    <xf numFmtId="0" fontId="3" fillId="23" borderId="0" xfId="0" applyFont="1" applyFill="1"/>
    <xf numFmtId="0" fontId="3" fillId="0" borderId="75" xfId="0" applyFont="1" applyBorder="1"/>
    <xf numFmtId="168" fontId="3" fillId="0" borderId="77" xfId="0" applyNumberFormat="1" applyFont="1" applyBorder="1"/>
    <xf numFmtId="11" fontId="8" fillId="0" borderId="77" xfId="0" applyNumberFormat="1" applyFont="1" applyBorder="1"/>
    <xf numFmtId="0" fontId="72" fillId="0" borderId="77" xfId="0" applyFont="1" applyBorder="1"/>
    <xf numFmtId="1" fontId="62" fillId="0" borderId="0" xfId="0" applyNumberFormat="1" applyFont="1"/>
    <xf numFmtId="0" fontId="81" fillId="0" borderId="0" xfId="0" applyFont="1"/>
    <xf numFmtId="1" fontId="64" fillId="0" borderId="0" xfId="0" applyNumberFormat="1" applyFont="1"/>
    <xf numFmtId="0" fontId="64" fillId="0" borderId="0" xfId="0" applyFont="1"/>
    <xf numFmtId="2" fontId="64" fillId="0" borderId="0" xfId="0" applyNumberFormat="1" applyFont="1"/>
    <xf numFmtId="168" fontId="62" fillId="0" borderId="0" xfId="0" applyNumberFormat="1" applyFont="1"/>
    <xf numFmtId="0" fontId="4" fillId="0" borderId="30" xfId="0" applyFont="1" applyBorder="1"/>
    <xf numFmtId="166" fontId="4" fillId="0" borderId="0" xfId="0" applyNumberFormat="1" applyFont="1"/>
    <xf numFmtId="11" fontId="4" fillId="0" borderId="0" xfId="0" applyNumberFormat="1" applyFont="1"/>
    <xf numFmtId="0" fontId="0" fillId="0" borderId="45" xfId="0" applyBorder="1"/>
    <xf numFmtId="1" fontId="3" fillId="22" borderId="0" xfId="0" applyNumberFormat="1" applyFont="1" applyFill="1"/>
    <xf numFmtId="1" fontId="65" fillId="0" borderId="0" xfId="0" applyNumberFormat="1" applyFont="1"/>
    <xf numFmtId="0" fontId="65" fillId="0" borderId="0" xfId="0" applyFont="1"/>
    <xf numFmtId="0" fontId="72" fillId="0" borderId="58" xfId="3" applyFont="1" applyBorder="1"/>
    <xf numFmtId="168" fontId="0" fillId="12" borderId="0" xfId="0" applyNumberFormat="1" applyFill="1"/>
    <xf numFmtId="186" fontId="3" fillId="0" borderId="0" xfId="0" applyNumberFormat="1" applyFont="1"/>
    <xf numFmtId="167" fontId="8" fillId="12" borderId="0" xfId="0" applyNumberFormat="1" applyFont="1" applyFill="1"/>
    <xf numFmtId="186" fontId="0" fillId="23" borderId="0" xfId="0" applyNumberFormat="1" applyFill="1"/>
    <xf numFmtId="11" fontId="0" fillId="22" borderId="0" xfId="0" applyNumberFormat="1" applyFill="1" applyAlignment="1">
      <alignment horizontal="right"/>
    </xf>
    <xf numFmtId="0" fontId="0" fillId="24" borderId="0" xfId="0" applyFill="1" applyAlignment="1">
      <alignment horizontal="right"/>
    </xf>
    <xf numFmtId="168" fontId="31" fillId="22" borderId="0" xfId="0" applyNumberFormat="1" applyFont="1" applyFill="1"/>
    <xf numFmtId="167" fontId="31" fillId="22" borderId="34" xfId="0" applyNumberFormat="1" applyFont="1" applyFill="1" applyBorder="1"/>
    <xf numFmtId="0" fontId="0" fillId="23" borderId="0" xfId="0" applyFill="1" applyAlignment="1">
      <alignment horizontal="right"/>
    </xf>
    <xf numFmtId="2" fontId="0" fillId="22" borderId="0" xfId="0" applyNumberFormat="1" applyFill="1" applyAlignment="1">
      <alignment horizontal="right"/>
    </xf>
    <xf numFmtId="0" fontId="81" fillId="0" borderId="28" xfId="0" applyFont="1" applyBorder="1"/>
    <xf numFmtId="168" fontId="3" fillId="0" borderId="0" xfId="0" applyNumberFormat="1" applyFont="1"/>
    <xf numFmtId="0" fontId="3" fillId="0" borderId="24" xfId="3" applyBorder="1" applyAlignment="1">
      <alignment horizontal="left"/>
    </xf>
    <xf numFmtId="0" fontId="3" fillId="0" borderId="45" xfId="3" applyBorder="1"/>
    <xf numFmtId="0" fontId="3" fillId="0" borderId="46" xfId="3" applyBorder="1"/>
    <xf numFmtId="168" fontId="3" fillId="0" borderId="45" xfId="3" applyNumberFormat="1" applyBorder="1"/>
    <xf numFmtId="0" fontId="3" fillId="8" borderId="15" xfId="3" applyFill="1" applyBorder="1"/>
    <xf numFmtId="0" fontId="4" fillId="0" borderId="55" xfId="3" applyFont="1" applyBorder="1" applyAlignment="1">
      <alignment horizontal="center"/>
    </xf>
    <xf numFmtId="11" fontId="3" fillId="0" borderId="11" xfId="3" applyNumberFormat="1" applyBorder="1"/>
    <xf numFmtId="1" fontId="3" fillId="0" borderId="45" xfId="3" applyNumberFormat="1" applyBorder="1"/>
    <xf numFmtId="168" fontId="3" fillId="0" borderId="11" xfId="3" applyNumberFormat="1" applyBorder="1"/>
    <xf numFmtId="0" fontId="3" fillId="0" borderId="0" xfId="3" applyAlignment="1">
      <alignment horizontal="left"/>
    </xf>
    <xf numFmtId="1" fontId="3" fillId="0" borderId="0" xfId="3" applyNumberFormat="1"/>
    <xf numFmtId="168" fontId="3" fillId="0" borderId="0" xfId="3" applyNumberFormat="1"/>
    <xf numFmtId="186" fontId="3" fillId="23" borderId="0" xfId="0" applyNumberFormat="1" applyFont="1" applyFill="1" applyAlignment="1">
      <alignment horizontal="right" vertical="center"/>
    </xf>
    <xf numFmtId="187" fontId="9" fillId="12" borderId="0" xfId="0" applyNumberFormat="1" applyFont="1" applyFill="1"/>
    <xf numFmtId="2" fontId="3" fillId="0" borderId="0" xfId="0" applyNumberFormat="1" applyFont="1"/>
    <xf numFmtId="168" fontId="4" fillId="0" borderId="0" xfId="0" applyNumberFormat="1" applyFont="1" applyAlignment="1">
      <alignment horizontal="right"/>
    </xf>
    <xf numFmtId="1" fontId="3" fillId="24" borderId="0" xfId="0" applyNumberFormat="1" applyFont="1" applyFill="1"/>
    <xf numFmtId="0" fontId="3" fillId="24" borderId="0" xfId="0" applyFont="1" applyFill="1"/>
    <xf numFmtId="167" fontId="3" fillId="22" borderId="31" xfId="0" applyNumberFormat="1" applyFont="1" applyFill="1" applyBorder="1"/>
    <xf numFmtId="169" fontId="64" fillId="9" borderId="2" xfId="1" applyNumberFormat="1" applyFont="1" applyFill="1" applyBorder="1" applyAlignment="1" applyProtection="1">
      <alignment horizontal="right"/>
    </xf>
    <xf numFmtId="0" fontId="3" fillId="0" borderId="8" xfId="3" applyBorder="1"/>
    <xf numFmtId="169" fontId="3" fillId="0" borderId="8" xfId="3" applyNumberFormat="1" applyBorder="1"/>
    <xf numFmtId="0" fontId="4" fillId="0" borderId="57" xfId="3" applyFont="1" applyBorder="1" applyAlignment="1">
      <alignment horizontal="center"/>
    </xf>
    <xf numFmtId="0" fontId="3" fillId="8" borderId="64" xfId="3" applyFill="1" applyBorder="1"/>
    <xf numFmtId="168" fontId="3" fillId="0" borderId="44" xfId="3" applyNumberFormat="1" applyBorder="1"/>
    <xf numFmtId="165" fontId="3" fillId="0" borderId="58" xfId="3" applyNumberFormat="1" applyBorder="1" applyAlignment="1">
      <alignment horizontal="center"/>
    </xf>
    <xf numFmtId="168" fontId="65" fillId="0" borderId="0" xfId="0" applyNumberFormat="1" applyFont="1"/>
    <xf numFmtId="1" fontId="4" fillId="0" borderId="0" xfId="0" applyNumberFormat="1" applyFont="1"/>
    <xf numFmtId="188" fontId="4" fillId="12" borderId="0" xfId="0" applyNumberFormat="1" applyFont="1" applyFill="1"/>
    <xf numFmtId="188" fontId="3" fillId="4" borderId="0" xfId="0" applyNumberFormat="1" applyFont="1" applyFill="1"/>
    <xf numFmtId="188" fontId="31" fillId="4" borderId="0" xfId="0" applyNumberFormat="1" applyFont="1" applyFill="1"/>
    <xf numFmtId="188" fontId="0" fillId="12" borderId="0" xfId="0" applyNumberFormat="1" applyFill="1"/>
    <xf numFmtId="188" fontId="0" fillId="4" borderId="31" xfId="0" applyNumberFormat="1" applyFill="1" applyBorder="1"/>
    <xf numFmtId="0" fontId="3" fillId="0" borderId="8" xfId="3" applyBorder="1" applyAlignment="1">
      <alignment horizontal="left"/>
    </xf>
    <xf numFmtId="2" fontId="3" fillId="0" borderId="59" xfId="3" applyNumberFormat="1" applyBorder="1" applyAlignment="1">
      <alignment horizontal="center"/>
    </xf>
    <xf numFmtId="1" fontId="3" fillId="0" borderId="0" xfId="3" applyNumberFormat="1" applyAlignment="1">
      <alignment horizontal="right"/>
    </xf>
    <xf numFmtId="168" fontId="3" fillId="8" borderId="11" xfId="3" applyNumberFormat="1" applyFill="1" applyBorder="1"/>
    <xf numFmtId="0" fontId="3" fillId="9" borderId="76" xfId="0" applyFont="1" applyFill="1" applyBorder="1" applyAlignment="1">
      <alignment horizontal="left"/>
    </xf>
    <xf numFmtId="169" fontId="3" fillId="9" borderId="28" xfId="0" applyNumberFormat="1" applyFont="1" applyFill="1" applyBorder="1" applyAlignment="1">
      <alignment horizontal="right"/>
    </xf>
    <xf numFmtId="0" fontId="3" fillId="9" borderId="29" xfId="0" applyFont="1" applyFill="1" applyBorder="1" applyAlignment="1">
      <alignment horizontal="left"/>
    </xf>
    <xf numFmtId="0" fontId="3" fillId="9" borderId="46" xfId="0" applyFont="1" applyFill="1" applyBorder="1" applyAlignment="1">
      <alignment horizontal="left"/>
    </xf>
    <xf numFmtId="188" fontId="3" fillId="23" borderId="0" xfId="0" applyNumberFormat="1" applyFont="1" applyFill="1"/>
    <xf numFmtId="167" fontId="64" fillId="0" borderId="0" xfId="0" applyNumberFormat="1" applyFont="1"/>
    <xf numFmtId="169" fontId="3" fillId="22" borderId="0" xfId="0" applyNumberFormat="1" applyFont="1" applyFill="1"/>
    <xf numFmtId="1" fontId="4" fillId="22" borderId="0" xfId="0" applyNumberFormat="1" applyFont="1" applyFill="1"/>
    <xf numFmtId="1" fontId="3" fillId="9" borderId="44" xfId="0" applyNumberFormat="1" applyFont="1" applyFill="1" applyBorder="1" applyAlignment="1">
      <alignment horizontal="right"/>
    </xf>
    <xf numFmtId="0" fontId="3" fillId="16" borderId="0" xfId="3" applyFill="1" applyAlignment="1">
      <alignment vertical="center"/>
    </xf>
    <xf numFmtId="49" fontId="3" fillId="16" borderId="0" xfId="3" applyNumberFormat="1" applyFill="1" applyAlignment="1">
      <alignment vertical="center"/>
    </xf>
    <xf numFmtId="190" fontId="3" fillId="21" borderId="11" xfId="3" applyNumberFormat="1" applyFill="1" applyBorder="1" applyAlignment="1">
      <alignment horizontal="center" vertical="center"/>
    </xf>
    <xf numFmtId="173" fontId="3" fillId="21" borderId="11" xfId="3" applyNumberFormat="1" applyFill="1" applyBorder="1" applyAlignment="1">
      <alignment horizontal="center" vertical="center"/>
    </xf>
    <xf numFmtId="0" fontId="3" fillId="21" borderId="15" xfId="3" applyFill="1" applyBorder="1" applyAlignment="1">
      <alignment horizontal="left" vertical="center"/>
    </xf>
    <xf numFmtId="0" fontId="3" fillId="0" borderId="11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72" fillId="0" borderId="11" xfId="0" applyFont="1" applyBorder="1"/>
    <xf numFmtId="0" fontId="3" fillId="0" borderId="13" xfId="0" applyFont="1" applyBorder="1"/>
    <xf numFmtId="0" fontId="3" fillId="4" borderId="11" xfId="0" applyFont="1" applyFill="1" applyBorder="1"/>
    <xf numFmtId="2" fontId="0" fillId="2" borderId="0" xfId="0" applyNumberFormat="1" applyFill="1"/>
    <xf numFmtId="0" fontId="3" fillId="6" borderId="11" xfId="0" applyFont="1" applyFill="1" applyBorder="1"/>
    <xf numFmtId="167" fontId="16" fillId="7" borderId="0" xfId="0" applyNumberFormat="1" applyFont="1" applyFill="1"/>
    <xf numFmtId="2" fontId="16" fillId="7" borderId="0" xfId="0" applyNumberFormat="1" applyFont="1" applyFill="1"/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70" fontId="4" fillId="2" borderId="6" xfId="0" applyNumberFormat="1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0" fontId="4" fillId="2" borderId="24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14" borderId="5" xfId="0" applyFont="1" applyFill="1" applyBorder="1" applyAlignment="1">
      <alignment horizontal="center" vertical="center" wrapText="1"/>
    </xf>
    <xf numFmtId="2" fontId="4" fillId="14" borderId="6" xfId="0" applyNumberFormat="1" applyFont="1" applyFill="1" applyBorder="1" applyAlignment="1">
      <alignment horizontal="center" vertical="center" wrapText="1"/>
    </xf>
    <xf numFmtId="168" fontId="4" fillId="2" borderId="6" xfId="0" applyNumberFormat="1" applyFont="1" applyFill="1" applyBorder="1" applyAlignment="1">
      <alignment horizontal="center" vertical="center" wrapText="1"/>
    </xf>
    <xf numFmtId="167" fontId="4" fillId="2" borderId="5" xfId="0" applyNumberFormat="1" applyFont="1" applyFill="1" applyBorder="1" applyAlignment="1">
      <alignment horizontal="center" vertical="center" wrapText="1"/>
    </xf>
    <xf numFmtId="167" fontId="4" fillId="2" borderId="6" xfId="0" applyNumberFormat="1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67" fontId="4" fillId="4" borderId="80" xfId="0" applyNumberFormat="1" applyFont="1" applyFill="1" applyBorder="1" applyAlignment="1">
      <alignment horizontal="center"/>
    </xf>
    <xf numFmtId="167" fontId="4" fillId="4" borderId="2" xfId="0" applyNumberFormat="1" applyFont="1" applyFill="1" applyBorder="1" applyAlignment="1">
      <alignment horizontal="center"/>
    </xf>
    <xf numFmtId="167" fontId="4" fillId="7" borderId="23" xfId="0" applyNumberFormat="1" applyFont="1" applyFill="1" applyBorder="1" applyAlignment="1">
      <alignment horizontal="center" vertical="center" wrapText="1"/>
    </xf>
    <xf numFmtId="0" fontId="62" fillId="19" borderId="23" xfId="0" applyFont="1" applyFill="1" applyBorder="1" applyAlignment="1">
      <alignment horizontal="center" vertical="center" wrapText="1"/>
    </xf>
    <xf numFmtId="0" fontId="4" fillId="0" borderId="0" xfId="0" applyFont="1" applyProtection="1">
      <protection locked="0"/>
    </xf>
    <xf numFmtId="0" fontId="4" fillId="9" borderId="77" xfId="0" applyFont="1" applyFill="1" applyBorder="1"/>
    <xf numFmtId="0" fontId="3" fillId="9" borderId="77" xfId="0" applyFont="1" applyFill="1" applyBorder="1"/>
    <xf numFmtId="0" fontId="3" fillId="9" borderId="76" xfId="0" applyFont="1" applyFill="1" applyBorder="1"/>
    <xf numFmtId="0" fontId="80" fillId="9" borderId="28" xfId="0" applyFont="1" applyFill="1" applyBorder="1"/>
    <xf numFmtId="0" fontId="16" fillId="0" borderId="39" xfId="0" applyFont="1" applyBorder="1"/>
    <xf numFmtId="2" fontId="16" fillId="4" borderId="0" xfId="0" applyNumberFormat="1" applyFont="1" applyFill="1" applyAlignment="1">
      <alignment horizontal="right"/>
    </xf>
    <xf numFmtId="2" fontId="31" fillId="22" borderId="0" xfId="0" applyNumberFormat="1" applyFont="1" applyFill="1" applyAlignment="1">
      <alignment horizontal="right"/>
    </xf>
    <xf numFmtId="167" fontId="4" fillId="12" borderId="0" xfId="0" applyNumberFormat="1" applyFont="1" applyFill="1"/>
    <xf numFmtId="168" fontId="9" fillId="0" borderId="0" xfId="0" applyNumberFormat="1" applyFont="1"/>
    <xf numFmtId="168" fontId="0" fillId="13" borderId="0" xfId="0" applyNumberFormat="1" applyFill="1"/>
    <xf numFmtId="0" fontId="83" fillId="0" borderId="0" xfId="0" applyFont="1"/>
    <xf numFmtId="2" fontId="4" fillId="0" borderId="0" xfId="0" applyNumberFormat="1" applyFont="1"/>
    <xf numFmtId="0" fontId="18" fillId="16" borderId="28" xfId="0" applyFont="1" applyFill="1" applyBorder="1"/>
    <xf numFmtId="0" fontId="3" fillId="9" borderId="0" xfId="0" applyFont="1" applyFill="1" applyAlignment="1">
      <alignment horizontal="right" vertical="top"/>
    </xf>
    <xf numFmtId="169" fontId="3" fillId="9" borderId="0" xfId="0" applyNumberFormat="1" applyFont="1" applyFill="1" applyAlignment="1">
      <alignment horizontal="left" vertical="center"/>
    </xf>
    <xf numFmtId="0" fontId="67" fillId="9" borderId="77" xfId="0" applyFont="1" applyFill="1" applyBorder="1" applyAlignment="1">
      <alignment horizontal="left"/>
    </xf>
    <xf numFmtId="0" fontId="4" fillId="4" borderId="0" xfId="0" applyFont="1" applyFill="1"/>
    <xf numFmtId="0" fontId="73" fillId="3" borderId="49" xfId="3" applyFont="1" applyFill="1" applyBorder="1" applyAlignment="1">
      <alignment horizontal="center" vertical="center"/>
    </xf>
    <xf numFmtId="0" fontId="73" fillId="3" borderId="50" xfId="3" applyFont="1" applyFill="1" applyBorder="1" applyAlignment="1">
      <alignment horizontal="center" vertical="center"/>
    </xf>
    <xf numFmtId="0" fontId="73" fillId="3" borderId="50" xfId="3" applyFont="1" applyFill="1" applyBorder="1" applyAlignment="1">
      <alignment horizontal="left" vertical="center"/>
    </xf>
    <xf numFmtId="0" fontId="3" fillId="9" borderId="77" xfId="0" applyFont="1" applyFill="1" applyBorder="1" applyAlignment="1">
      <alignment horizontal="right" vertical="center"/>
    </xf>
    <xf numFmtId="0" fontId="3" fillId="9" borderId="4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 vertical="top"/>
    </xf>
    <xf numFmtId="1" fontId="3" fillId="9" borderId="31" xfId="0" applyNumberFormat="1" applyFont="1" applyFill="1" applyBorder="1" applyAlignment="1">
      <alignment horizontal="right"/>
    </xf>
    <xf numFmtId="0" fontId="3" fillId="9" borderId="0" xfId="0" applyFont="1" applyFill="1" applyAlignment="1">
      <alignment horizontal="right" vertical="top" readingOrder="1"/>
    </xf>
    <xf numFmtId="169" fontId="0" fillId="0" borderId="0" xfId="0" applyNumberFormat="1" applyAlignment="1">
      <alignment horizontal="left"/>
    </xf>
    <xf numFmtId="188" fontId="64" fillId="0" borderId="0" xfId="0" applyNumberFormat="1" applyFont="1"/>
    <xf numFmtId="11" fontId="64" fillId="0" borderId="0" xfId="0" applyNumberFormat="1" applyFont="1"/>
    <xf numFmtId="168" fontId="67" fillId="0" borderId="0" xfId="0" applyNumberFormat="1" applyFont="1"/>
    <xf numFmtId="0" fontId="67" fillId="0" borderId="0" xfId="0" applyFont="1"/>
    <xf numFmtId="168" fontId="4" fillId="9" borderId="0" xfId="0" applyNumberFormat="1" applyFont="1" applyFill="1" applyAlignment="1">
      <alignment horizontal="center"/>
    </xf>
    <xf numFmtId="0" fontId="85" fillId="0" borderId="0" xfId="0" applyFont="1"/>
    <xf numFmtId="0" fontId="4" fillId="5" borderId="69" xfId="0" applyFont="1" applyFill="1" applyBorder="1"/>
    <xf numFmtId="0" fontId="21" fillId="25" borderId="43" xfId="0" applyFont="1" applyFill="1" applyBorder="1"/>
    <xf numFmtId="0" fontId="21" fillId="25" borderId="41" xfId="0" applyFont="1" applyFill="1" applyBorder="1"/>
    <xf numFmtId="0" fontId="18" fillId="25" borderId="41" xfId="0" applyFont="1" applyFill="1" applyBorder="1"/>
    <xf numFmtId="172" fontId="18" fillId="25" borderId="0" xfId="0" applyNumberFormat="1" applyFont="1" applyFill="1" applyAlignment="1">
      <alignment horizontal="center"/>
    </xf>
    <xf numFmtId="0" fontId="18" fillId="25" borderId="0" xfId="0" applyFont="1" applyFill="1"/>
    <xf numFmtId="172" fontId="69" fillId="25" borderId="0" xfId="0" applyNumberFormat="1" applyFont="1" applyFill="1" applyAlignment="1">
      <alignment horizontal="center"/>
    </xf>
    <xf numFmtId="172" fontId="26" fillId="25" borderId="0" xfId="0" applyNumberFormat="1" applyFont="1" applyFill="1" applyAlignment="1">
      <alignment horizontal="center"/>
    </xf>
    <xf numFmtId="0" fontId="27" fillId="25" borderId="28" xfId="0" applyFont="1" applyFill="1" applyBorder="1" applyAlignment="1">
      <alignment horizontal="left"/>
    </xf>
    <xf numFmtId="0" fontId="27" fillId="25" borderId="0" xfId="0" applyFont="1" applyFill="1" applyAlignment="1">
      <alignment horizontal="left"/>
    </xf>
    <xf numFmtId="0" fontId="25" fillId="25" borderId="28" xfId="0" applyFont="1" applyFill="1" applyBorder="1" applyAlignment="1">
      <alignment horizontal="left" vertical="center"/>
    </xf>
    <xf numFmtId="0" fontId="25" fillId="25" borderId="0" xfId="0" applyFont="1" applyFill="1" applyAlignment="1">
      <alignment horizontal="left" vertical="center"/>
    </xf>
    <xf numFmtId="0" fontId="71" fillId="25" borderId="0" xfId="0" applyFont="1" applyFill="1" applyAlignment="1">
      <alignment horizontal="left" vertical="center"/>
    </xf>
    <xf numFmtId="0" fontId="32" fillId="25" borderId="30" xfId="0" applyFont="1" applyFill="1" applyBorder="1"/>
    <xf numFmtId="0" fontId="32" fillId="25" borderId="31" xfId="0" applyFont="1" applyFill="1" applyBorder="1"/>
    <xf numFmtId="0" fontId="21" fillId="25" borderId="31" xfId="0" applyFont="1" applyFill="1" applyBorder="1"/>
    <xf numFmtId="0" fontId="25" fillId="25" borderId="0" xfId="0" quotePrefix="1" applyFont="1" applyFill="1" applyAlignment="1">
      <alignment vertical="center"/>
    </xf>
    <xf numFmtId="0" fontId="21" fillId="25" borderId="0" xfId="0" applyFont="1" applyFill="1" applyAlignment="1">
      <alignment vertical="center"/>
    </xf>
    <xf numFmtId="0" fontId="30" fillId="25" borderId="0" xfId="0" applyFont="1" applyFill="1" applyAlignment="1">
      <alignment vertical="center"/>
    </xf>
    <xf numFmtId="0" fontId="30" fillId="25" borderId="0" xfId="0" applyFont="1" applyFill="1"/>
    <xf numFmtId="0" fontId="28" fillId="25" borderId="31" xfId="0" applyFont="1" applyFill="1" applyBorder="1"/>
    <xf numFmtId="0" fontId="28" fillId="25" borderId="45" xfId="0" applyFont="1" applyFill="1" applyBorder="1"/>
    <xf numFmtId="0" fontId="86" fillId="25" borderId="0" xfId="2" applyFont="1" applyFill="1" applyBorder="1" applyAlignment="1" applyProtection="1">
      <alignment horizontal="left" vertical="center"/>
    </xf>
    <xf numFmtId="168" fontId="4" fillId="24" borderId="0" xfId="0" applyNumberFormat="1" applyFont="1" applyFill="1" applyAlignment="1">
      <alignment horizontal="right"/>
    </xf>
    <xf numFmtId="1" fontId="3" fillId="9" borderId="75" xfId="0" applyNumberFormat="1" applyFont="1" applyFill="1" applyBorder="1" applyAlignment="1">
      <alignment horizontal="right"/>
    </xf>
    <xf numFmtId="0" fontId="88" fillId="0" borderId="28" xfId="0" applyFont="1" applyBorder="1"/>
    <xf numFmtId="169" fontId="4" fillId="22" borderId="0" xfId="0" applyNumberFormat="1" applyFont="1" applyFill="1"/>
    <xf numFmtId="169" fontId="4" fillId="0" borderId="0" xfId="0" applyNumberFormat="1" applyFont="1"/>
    <xf numFmtId="168" fontId="0" fillId="22" borderId="0" xfId="0" applyNumberFormat="1" applyFill="1"/>
    <xf numFmtId="2" fontId="9" fillId="12" borderId="0" xfId="0" applyNumberFormat="1" applyFont="1" applyFill="1"/>
    <xf numFmtId="169" fontId="16" fillId="4" borderId="0" xfId="0" applyNumberFormat="1" applyFont="1" applyFill="1" applyAlignment="1">
      <alignment horizontal="right"/>
    </xf>
    <xf numFmtId="188" fontId="4" fillId="0" borderId="0" xfId="0" applyNumberFormat="1" applyFont="1"/>
    <xf numFmtId="2" fontId="31" fillId="0" borderId="0" xfId="0" applyNumberFormat="1" applyFont="1"/>
    <xf numFmtId="0" fontId="74" fillId="0" borderId="0" xfId="0" applyFont="1"/>
    <xf numFmtId="169" fontId="3" fillId="9" borderId="0" xfId="0" applyNumberFormat="1" applyFont="1" applyFill="1" applyAlignment="1">
      <alignment horizontal="right"/>
    </xf>
    <xf numFmtId="169" fontId="3" fillId="9" borderId="0" xfId="0" applyNumberFormat="1" applyFont="1" applyFill="1" applyAlignment="1">
      <alignment horizontal="right" vertical="center"/>
    </xf>
    <xf numFmtId="11" fontId="64" fillId="22" borderId="0" xfId="0" applyNumberFormat="1" applyFont="1" applyFill="1"/>
    <xf numFmtId="188" fontId="0" fillId="0" borderId="0" xfId="0" applyNumberFormat="1"/>
    <xf numFmtId="2" fontId="0" fillId="4" borderId="0" xfId="0" applyNumberFormat="1" applyFill="1"/>
    <xf numFmtId="1" fontId="0" fillId="0" borderId="0" xfId="0" applyNumberFormat="1" applyAlignment="1">
      <alignment horizontal="left"/>
    </xf>
    <xf numFmtId="2" fontId="4" fillId="0" borderId="0" xfId="0" applyNumberFormat="1" applyFont="1" applyAlignment="1">
      <alignment horizontal="left"/>
    </xf>
    <xf numFmtId="0" fontId="0" fillId="0" borderId="31" xfId="0" applyBorder="1" applyAlignment="1">
      <alignment horizontal="left"/>
    </xf>
    <xf numFmtId="2" fontId="89" fillId="0" borderId="0" xfId="0" applyNumberFormat="1" applyFont="1" applyAlignment="1">
      <alignment horizontal="left"/>
    </xf>
    <xf numFmtId="0" fontId="89" fillId="0" borderId="0" xfId="0" applyFont="1" applyAlignment="1">
      <alignment horizontal="left"/>
    </xf>
    <xf numFmtId="0" fontId="64" fillId="9" borderId="0" xfId="0" applyFont="1" applyFill="1" applyAlignment="1">
      <alignment horizontal="right"/>
    </xf>
    <xf numFmtId="2" fontId="3" fillId="16" borderId="0" xfId="0" applyNumberFormat="1" applyFont="1" applyFill="1"/>
    <xf numFmtId="11" fontId="31" fillId="22" borderId="0" xfId="0" applyNumberFormat="1" applyFont="1" applyFill="1" applyAlignment="1">
      <alignment horizontal="right"/>
    </xf>
    <xf numFmtId="11" fontId="0" fillId="22" borderId="0" xfId="0" applyNumberFormat="1" applyFill="1"/>
    <xf numFmtId="168" fontId="31" fillId="0" borderId="0" xfId="0" applyNumberFormat="1" applyFont="1"/>
    <xf numFmtId="0" fontId="74" fillId="0" borderId="0" xfId="0" applyFont="1" applyAlignment="1">
      <alignment horizontal="left"/>
    </xf>
    <xf numFmtId="0" fontId="62" fillId="0" borderId="0" xfId="0" applyFont="1" applyAlignment="1">
      <alignment horizontal="right"/>
    </xf>
    <xf numFmtId="0" fontId="62" fillId="0" borderId="0" xfId="0" applyFont="1" applyAlignment="1">
      <alignment horizontal="left"/>
    </xf>
    <xf numFmtId="0" fontId="0" fillId="16" borderId="0" xfId="0" applyFill="1"/>
    <xf numFmtId="0" fontId="4" fillId="2" borderId="23" xfId="0" applyFont="1" applyFill="1" applyBorder="1" applyAlignment="1">
      <alignment horizontal="center" vertical="center" wrapText="1"/>
    </xf>
    <xf numFmtId="2" fontId="4" fillId="2" borderId="5" xfId="0" applyNumberFormat="1" applyFont="1" applyFill="1" applyBorder="1" applyAlignment="1">
      <alignment horizontal="center" vertical="center" wrapText="1"/>
    </xf>
    <xf numFmtId="2" fontId="4" fillId="2" borderId="7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right"/>
    </xf>
    <xf numFmtId="187" fontId="0" fillId="0" borderId="0" xfId="0" applyNumberFormat="1"/>
    <xf numFmtId="0" fontId="4" fillId="0" borderId="28" xfId="0" applyFont="1" applyBorder="1" applyAlignment="1">
      <alignment horizontal="center"/>
    </xf>
    <xf numFmtId="168" fontId="83" fillId="26" borderId="0" xfId="0" applyNumberFormat="1" applyFont="1" applyFill="1" applyAlignment="1">
      <alignment horizontal="center" vertical="center"/>
    </xf>
    <xf numFmtId="167" fontId="4" fillId="26" borderId="0" xfId="0" applyNumberFormat="1" applyFont="1" applyFill="1" applyAlignment="1">
      <alignment horizontal="center" vertical="center" wrapText="1"/>
    </xf>
    <xf numFmtId="0" fontId="4" fillId="2" borderId="23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8" fontId="4" fillId="2" borderId="21" xfId="0" applyNumberFormat="1" applyFont="1" applyFill="1" applyBorder="1" applyAlignment="1">
      <alignment horizontal="center" vertical="center" wrapText="1"/>
    </xf>
    <xf numFmtId="1" fontId="4" fillId="16" borderId="0" xfId="0" applyNumberFormat="1" applyFont="1" applyFill="1" applyAlignment="1" applyProtection="1">
      <alignment horizontal="right" vertical="center"/>
      <protection hidden="1"/>
    </xf>
    <xf numFmtId="0" fontId="62" fillId="2" borderId="6" xfId="0" applyFont="1" applyFill="1" applyBorder="1" applyAlignment="1">
      <alignment horizontal="center" vertical="center" wrapText="1"/>
    </xf>
    <xf numFmtId="169" fontId="81" fillId="0" borderId="0" xfId="0" applyNumberFormat="1" applyFont="1"/>
    <xf numFmtId="10" fontId="81" fillId="0" borderId="0" xfId="0" applyNumberFormat="1" applyFont="1" applyAlignment="1">
      <alignment horizontal="center"/>
    </xf>
    <xf numFmtId="0" fontId="11" fillId="9" borderId="0" xfId="2" applyFill="1" applyAlignment="1" applyProtection="1"/>
    <xf numFmtId="169" fontId="3" fillId="16" borderId="0" xfId="0" applyNumberFormat="1" applyFont="1" applyFill="1"/>
    <xf numFmtId="0" fontId="4" fillId="9" borderId="45" xfId="0" applyFont="1" applyFill="1" applyBorder="1" applyAlignment="1">
      <alignment horizontal="left" vertical="center"/>
    </xf>
    <xf numFmtId="0" fontId="4" fillId="19" borderId="0" xfId="0" applyFont="1" applyFill="1" applyAlignment="1">
      <alignment horizontal="left"/>
    </xf>
    <xf numFmtId="0" fontId="0" fillId="19" borderId="0" xfId="0" applyFill="1"/>
    <xf numFmtId="0" fontId="3" fillId="19" borderId="0" xfId="0" applyFont="1" applyFill="1"/>
    <xf numFmtId="169" fontId="3" fillId="19" borderId="0" xfId="0" applyNumberFormat="1" applyFont="1" applyFill="1"/>
    <xf numFmtId="0" fontId="93" fillId="0" borderId="0" xfId="6" applyFont="1"/>
    <xf numFmtId="0" fontId="65" fillId="0" borderId="0" xfId="6" applyFont="1" applyAlignment="1">
      <alignment horizontal="center"/>
    </xf>
    <xf numFmtId="0" fontId="65" fillId="0" borderId="0" xfId="6" applyFont="1" applyAlignment="1">
      <alignment horizontal="left"/>
    </xf>
    <xf numFmtId="0" fontId="64" fillId="0" borderId="0" xfId="6" applyFont="1"/>
    <xf numFmtId="0" fontId="95" fillId="0" borderId="0" xfId="7" applyFont="1" applyFill="1" applyBorder="1" applyAlignment="1">
      <alignment vertical="center"/>
    </xf>
    <xf numFmtId="0" fontId="95" fillId="0" borderId="0" xfId="7" applyFont="1" applyFill="1" applyBorder="1" applyAlignment="1">
      <alignment horizontal="right" vertical="center"/>
    </xf>
    <xf numFmtId="0" fontId="93" fillId="0" borderId="0" xfId="6" applyFont="1" applyAlignment="1">
      <alignment horizontal="center"/>
    </xf>
    <xf numFmtId="0" fontId="93" fillId="0" borderId="0" xfId="6" applyFont="1" applyAlignment="1">
      <alignment horizontal="left"/>
    </xf>
    <xf numFmtId="0" fontId="64" fillId="0" borderId="0" xfId="6" applyFont="1" applyAlignment="1">
      <alignment horizontal="center"/>
    </xf>
    <xf numFmtId="0" fontId="3" fillId="0" borderId="0" xfId="6" applyFont="1"/>
    <xf numFmtId="0" fontId="96" fillId="18" borderId="0" xfId="6" applyFont="1" applyFill="1" applyAlignment="1">
      <alignment horizontal="center"/>
    </xf>
    <xf numFmtId="0" fontId="97" fillId="0" borderId="0" xfId="7" applyFont="1" applyFill="1" applyBorder="1" applyAlignment="1">
      <alignment vertical="center"/>
    </xf>
    <xf numFmtId="0" fontId="65" fillId="9" borderId="81" xfId="0" applyFont="1" applyFill="1" applyBorder="1" applyAlignment="1">
      <alignment horizontal="right" vertical="center"/>
    </xf>
    <xf numFmtId="0" fontId="4" fillId="19" borderId="82" xfId="0" applyFont="1" applyFill="1" applyBorder="1" applyAlignment="1">
      <alignment horizontal="left"/>
    </xf>
    <xf numFmtId="0" fontId="11" fillId="25" borderId="0" xfId="2" applyFill="1" applyAlignment="1" applyProtection="1">
      <protection locked="0" hidden="1"/>
    </xf>
    <xf numFmtId="0" fontId="18" fillId="9" borderId="0" xfId="0" applyFont="1" applyFill="1" applyAlignment="1">
      <alignment vertical="top"/>
    </xf>
    <xf numFmtId="0" fontId="18" fillId="9" borderId="0" xfId="0" applyFont="1" applyFill="1" applyAlignment="1">
      <alignment horizontal="center" vertical="top"/>
    </xf>
    <xf numFmtId="0" fontId="3" fillId="9" borderId="0" xfId="0" applyFont="1" applyFill="1" applyProtection="1">
      <protection locked="0" hidden="1"/>
    </xf>
    <xf numFmtId="0" fontId="67" fillId="9" borderId="0" xfId="0" applyFont="1" applyFill="1" applyAlignment="1">
      <alignment horizontal="left" vertical="center"/>
    </xf>
    <xf numFmtId="0" fontId="11" fillId="25" borderId="0" xfId="2" applyFill="1" applyBorder="1" applyAlignment="1" applyProtection="1">
      <alignment horizontal="left" vertical="center"/>
      <protection locked="0" hidden="1"/>
    </xf>
    <xf numFmtId="0" fontId="53" fillId="17" borderId="43" xfId="0" applyFont="1" applyFill="1" applyBorder="1" applyAlignment="1">
      <alignment horizontal="center" vertical="center"/>
    </xf>
    <xf numFmtId="0" fontId="53" fillId="17" borderId="41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left" vertical="top"/>
    </xf>
    <xf numFmtId="0" fontId="3" fillId="9" borderId="29" xfId="0" applyFont="1" applyFill="1" applyBorder="1" applyAlignment="1">
      <alignment horizontal="left" vertical="top"/>
    </xf>
    <xf numFmtId="184" fontId="3" fillId="21" borderId="8" xfId="3" applyNumberFormat="1" applyFill="1" applyBorder="1" applyAlignment="1">
      <alignment horizontal="left" vertical="center"/>
    </xf>
    <xf numFmtId="184" fontId="3" fillId="21" borderId="9" xfId="3" applyNumberFormat="1" applyFill="1" applyBorder="1" applyAlignment="1">
      <alignment horizontal="left" vertical="center"/>
    </xf>
    <xf numFmtId="184" fontId="3" fillId="21" borderId="15" xfId="3" applyNumberFormat="1" applyFill="1" applyBorder="1" applyAlignment="1">
      <alignment horizontal="left" vertical="center"/>
    </xf>
    <xf numFmtId="185" fontId="3" fillId="16" borderId="8" xfId="3" applyNumberFormat="1" applyFill="1" applyBorder="1" applyAlignment="1">
      <alignment horizontal="left" vertical="center"/>
    </xf>
    <xf numFmtId="185" fontId="3" fillId="16" borderId="9" xfId="3" applyNumberFormat="1" applyFill="1" applyBorder="1" applyAlignment="1">
      <alignment horizontal="left" vertical="center"/>
    </xf>
    <xf numFmtId="185" fontId="3" fillId="16" borderId="15" xfId="3" applyNumberFormat="1" applyFill="1" applyBorder="1" applyAlignment="1">
      <alignment horizontal="left" vertical="center"/>
    </xf>
    <xf numFmtId="191" fontId="3" fillId="9" borderId="8" xfId="3" applyNumberFormat="1" applyFill="1" applyBorder="1" applyAlignment="1">
      <alignment horizontal="left" vertical="center"/>
    </xf>
    <xf numFmtId="191" fontId="3" fillId="9" borderId="9" xfId="3" applyNumberFormat="1" applyFill="1" applyBorder="1" applyAlignment="1">
      <alignment horizontal="left" vertical="center"/>
    </xf>
    <xf numFmtId="179" fontId="3" fillId="20" borderId="8" xfId="3" applyNumberFormat="1" applyFill="1" applyBorder="1" applyAlignment="1">
      <alignment horizontal="left" vertical="center"/>
    </xf>
    <xf numFmtId="179" fontId="3" fillId="20" borderId="9" xfId="3" applyNumberFormat="1" applyFill="1" applyBorder="1" applyAlignment="1">
      <alignment horizontal="left" vertical="center"/>
    </xf>
    <xf numFmtId="177" fontId="3" fillId="20" borderId="8" xfId="3" applyNumberFormat="1" applyFill="1" applyBorder="1" applyAlignment="1">
      <alignment horizontal="left" vertical="center"/>
    </xf>
    <xf numFmtId="177" fontId="3" fillId="20" borderId="9" xfId="3" applyNumberFormat="1" applyFill="1" applyBorder="1" applyAlignment="1">
      <alignment horizontal="left" vertical="center"/>
    </xf>
    <xf numFmtId="192" fontId="3" fillId="16" borderId="8" xfId="3" applyNumberFormat="1" applyFill="1" applyBorder="1" applyAlignment="1">
      <alignment horizontal="left" vertical="center"/>
    </xf>
    <xf numFmtId="192" fontId="3" fillId="16" borderId="9" xfId="3" applyNumberFormat="1" applyFill="1" applyBorder="1" applyAlignment="1">
      <alignment horizontal="left" vertical="center"/>
    </xf>
    <xf numFmtId="178" fontId="3" fillId="20" borderId="8" xfId="3" applyNumberFormat="1" applyFill="1" applyBorder="1" applyAlignment="1">
      <alignment horizontal="left" vertical="center"/>
    </xf>
    <xf numFmtId="178" fontId="3" fillId="20" borderId="9" xfId="3" applyNumberFormat="1" applyFill="1" applyBorder="1" applyAlignment="1">
      <alignment horizontal="left" vertical="center"/>
    </xf>
    <xf numFmtId="180" fontId="3" fillId="16" borderId="8" xfId="3" applyNumberFormat="1" applyFill="1" applyBorder="1" applyAlignment="1">
      <alignment horizontal="left" vertical="center"/>
    </xf>
    <xf numFmtId="180" fontId="3" fillId="16" borderId="9" xfId="3" applyNumberFormat="1" applyFill="1" applyBorder="1" applyAlignment="1">
      <alignment horizontal="left" vertical="center"/>
    </xf>
    <xf numFmtId="181" fontId="3" fillId="16" borderId="8" xfId="3" applyNumberFormat="1" applyFill="1" applyBorder="1" applyAlignment="1">
      <alignment horizontal="left" vertical="center"/>
    </xf>
    <xf numFmtId="181" fontId="3" fillId="16" borderId="9" xfId="3" applyNumberFormat="1" applyFill="1" applyBorder="1" applyAlignment="1">
      <alignment horizontal="left" vertical="center"/>
    </xf>
    <xf numFmtId="191" fontId="3" fillId="20" borderId="8" xfId="3" applyNumberFormat="1" applyFill="1" applyBorder="1" applyAlignment="1">
      <alignment horizontal="left" vertical="center"/>
    </xf>
    <xf numFmtId="191" fontId="3" fillId="20" borderId="9" xfId="3" applyNumberFormat="1" applyFill="1" applyBorder="1" applyAlignment="1">
      <alignment horizontal="left" vertical="center"/>
    </xf>
    <xf numFmtId="177" fontId="3" fillId="16" borderId="8" xfId="3" applyNumberFormat="1" applyFill="1" applyBorder="1" applyAlignment="1">
      <alignment horizontal="left" vertical="center"/>
    </xf>
    <xf numFmtId="0" fontId="0" fillId="0" borderId="9" xfId="0" applyBorder="1"/>
    <xf numFmtId="0" fontId="73" fillId="3" borderId="51" xfId="3" applyFont="1" applyFill="1" applyBorder="1" applyAlignment="1">
      <alignment horizontal="left" vertical="center"/>
    </xf>
    <xf numFmtId="0" fontId="73" fillId="3" borderId="52" xfId="3" applyFont="1" applyFill="1" applyBorder="1" applyAlignment="1">
      <alignment horizontal="left" vertical="center"/>
    </xf>
    <xf numFmtId="0" fontId="73" fillId="3" borderId="53" xfId="3" applyFont="1" applyFill="1" applyBorder="1" applyAlignment="1">
      <alignment horizontal="left" vertical="center"/>
    </xf>
    <xf numFmtId="179" fontId="3" fillId="21" borderId="8" xfId="3" applyNumberFormat="1" applyFill="1" applyBorder="1" applyAlignment="1">
      <alignment horizontal="left" vertical="center"/>
    </xf>
    <xf numFmtId="179" fontId="3" fillId="21" borderId="9" xfId="3" applyNumberFormat="1" applyFill="1" applyBorder="1" applyAlignment="1">
      <alignment horizontal="left" vertical="center"/>
    </xf>
    <xf numFmtId="184" fontId="3" fillId="16" borderId="8" xfId="3" applyNumberFormat="1" applyFill="1" applyBorder="1" applyAlignment="1">
      <alignment horizontal="left" vertical="center"/>
    </xf>
    <xf numFmtId="184" fontId="3" fillId="16" borderId="9" xfId="3" applyNumberFormat="1" applyFill="1" applyBorder="1" applyAlignment="1">
      <alignment horizontal="left" vertical="center"/>
    </xf>
    <xf numFmtId="184" fontId="3" fillId="16" borderId="15" xfId="3" applyNumberFormat="1" applyFill="1" applyBorder="1" applyAlignment="1">
      <alignment horizontal="left" vertical="center"/>
    </xf>
    <xf numFmtId="189" fontId="3" fillId="16" borderId="8" xfId="3" applyNumberFormat="1" applyFill="1" applyBorder="1" applyAlignment="1">
      <alignment horizontal="left" vertical="center"/>
    </xf>
    <xf numFmtId="189" fontId="3" fillId="16" borderId="9" xfId="3" applyNumberFormat="1" applyFill="1" applyBorder="1" applyAlignment="1">
      <alignment horizontal="left" vertical="center"/>
    </xf>
    <xf numFmtId="189" fontId="3" fillId="16" borderId="15" xfId="3" applyNumberFormat="1" applyFill="1" applyBorder="1" applyAlignment="1">
      <alignment horizontal="left" vertical="center"/>
    </xf>
    <xf numFmtId="193" fontId="3" fillId="21" borderId="8" xfId="3" applyNumberFormat="1" applyFill="1" applyBorder="1" applyAlignment="1">
      <alignment horizontal="left" vertical="center"/>
    </xf>
    <xf numFmtId="193" fontId="3" fillId="21" borderId="9" xfId="3" applyNumberFormat="1" applyFill="1" applyBorder="1" applyAlignment="1">
      <alignment horizontal="left" vertical="center"/>
    </xf>
    <xf numFmtId="193" fontId="3" fillId="21" borderId="15" xfId="3" applyNumberFormat="1" applyFill="1" applyBorder="1" applyAlignment="1">
      <alignment horizontal="left" vertical="center"/>
    </xf>
    <xf numFmtId="183" fontId="3" fillId="20" borderId="8" xfId="3" applyNumberFormat="1" applyFill="1" applyBorder="1" applyAlignment="1">
      <alignment horizontal="left" vertical="center"/>
    </xf>
    <xf numFmtId="183" fontId="3" fillId="20" borderId="9" xfId="3" applyNumberFormat="1" applyFill="1" applyBorder="1" applyAlignment="1">
      <alignment horizontal="left" vertical="center"/>
    </xf>
    <xf numFmtId="183" fontId="3" fillId="20" borderId="15" xfId="3" applyNumberFormat="1" applyFill="1" applyBorder="1" applyAlignment="1">
      <alignment horizontal="left" vertical="center"/>
    </xf>
    <xf numFmtId="0" fontId="4" fillId="9" borderId="79" xfId="3" applyFont="1" applyFill="1" applyBorder="1" applyAlignment="1">
      <alignment horizontal="center" vertical="center"/>
    </xf>
    <xf numFmtId="0" fontId="4" fillId="9" borderId="67" xfId="3" applyFont="1" applyFill="1" applyBorder="1" applyAlignment="1">
      <alignment horizontal="center" vertical="center"/>
    </xf>
    <xf numFmtId="0" fontId="4" fillId="9" borderId="14" xfId="3" applyFont="1" applyFill="1" applyBorder="1" applyAlignment="1">
      <alignment horizontal="left" vertical="center"/>
    </xf>
    <xf numFmtId="0" fontId="4" fillId="9" borderId="12" xfId="3" applyFont="1" applyFill="1" applyBorder="1" applyAlignment="1">
      <alignment horizontal="left" vertical="center"/>
    </xf>
    <xf numFmtId="0" fontId="4" fillId="9" borderId="78" xfId="3" applyFont="1" applyFill="1" applyBorder="1" applyAlignment="1">
      <alignment horizontal="left" vertical="center"/>
    </xf>
    <xf numFmtId="0" fontId="4" fillId="9" borderId="10" xfId="3" applyFont="1" applyFill="1" applyBorder="1" applyAlignment="1">
      <alignment horizontal="left" vertical="center"/>
    </xf>
    <xf numFmtId="0" fontId="4" fillId="9" borderId="16" xfId="3" applyFont="1" applyFill="1" applyBorder="1" applyAlignment="1">
      <alignment horizontal="left" vertical="center"/>
    </xf>
    <xf numFmtId="0" fontId="4" fillId="9" borderId="69" xfId="3" applyFont="1" applyFill="1" applyBorder="1" applyAlignment="1">
      <alignment horizontal="left" vertical="center"/>
    </xf>
    <xf numFmtId="0" fontId="4" fillId="9" borderId="4" xfId="3" applyFont="1" applyFill="1" applyBorder="1" applyAlignment="1">
      <alignment horizontal="left" vertical="center"/>
    </xf>
    <xf numFmtId="0" fontId="4" fillId="9" borderId="17" xfId="3" applyFont="1" applyFill="1" applyBorder="1" applyAlignment="1">
      <alignment horizontal="left" vertical="center"/>
    </xf>
    <xf numFmtId="0" fontId="62" fillId="9" borderId="14" xfId="3" applyFont="1" applyFill="1" applyBorder="1" applyAlignment="1">
      <alignment horizontal="center" vertical="center"/>
    </xf>
    <xf numFmtId="0" fontId="62" fillId="9" borderId="12" xfId="3" applyFont="1" applyFill="1" applyBorder="1" applyAlignment="1">
      <alignment horizontal="center" vertical="center"/>
    </xf>
    <xf numFmtId="0" fontId="4" fillId="9" borderId="14" xfId="3" applyFont="1" applyFill="1" applyBorder="1" applyAlignment="1">
      <alignment horizontal="left" vertical="center" wrapText="1"/>
    </xf>
    <xf numFmtId="0" fontId="4" fillId="9" borderId="12" xfId="3" applyFont="1" applyFill="1" applyBorder="1" applyAlignment="1">
      <alignment horizontal="left" vertical="center" wrapText="1"/>
    </xf>
    <xf numFmtId="0" fontId="64" fillId="0" borderId="0" xfId="6" applyFont="1" applyAlignment="1">
      <alignment wrapText="1"/>
    </xf>
    <xf numFmtId="0" fontId="93" fillId="0" borderId="0" xfId="6" applyFont="1" applyAlignment="1">
      <alignment horizontal="center"/>
    </xf>
    <xf numFmtId="0" fontId="93" fillId="27" borderId="0" xfId="6" applyFont="1" applyFill="1" applyAlignment="1">
      <alignment horizontal="center"/>
    </xf>
    <xf numFmtId="0" fontId="96" fillId="18" borderId="0" xfId="6" applyFont="1" applyFill="1" applyAlignment="1">
      <alignment horizontal="left"/>
    </xf>
    <xf numFmtId="0" fontId="64" fillId="0" borderId="0" xfId="6" applyFont="1" applyAlignment="1">
      <alignment horizontal="left"/>
    </xf>
    <xf numFmtId="0" fontId="52" fillId="16" borderId="28" xfId="0" applyFont="1" applyFill="1" applyBorder="1" applyAlignment="1">
      <alignment horizontal="left" vertical="center"/>
    </xf>
    <xf numFmtId="0" fontId="52" fillId="16" borderId="0" xfId="0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6" xfId="0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0" fontId="14" fillId="3" borderId="0" xfId="0" applyFont="1" applyFill="1" applyAlignment="1">
      <alignment horizontal="left"/>
    </xf>
    <xf numFmtId="0" fontId="4" fillId="0" borderId="0" xfId="0" applyFont="1" applyAlignment="1">
      <alignment horizontal="left" wrapText="1"/>
    </xf>
    <xf numFmtId="170" fontId="4" fillId="4" borderId="55" xfId="0" applyNumberFormat="1" applyFont="1" applyFill="1" applyBorder="1" applyAlignment="1">
      <alignment horizontal="center"/>
    </xf>
    <xf numFmtId="170" fontId="4" fillId="4" borderId="56" xfId="0" applyNumberFormat="1" applyFont="1" applyFill="1" applyBorder="1" applyAlignment="1">
      <alignment horizontal="center"/>
    </xf>
    <xf numFmtId="170" fontId="4" fillId="4" borderId="57" xfId="0" applyNumberFormat="1" applyFont="1" applyFill="1" applyBorder="1" applyAlignment="1">
      <alignment horizontal="center"/>
    </xf>
    <xf numFmtId="0" fontId="4" fillId="4" borderId="47" xfId="0" applyFont="1" applyFill="1" applyBorder="1" applyAlignment="1">
      <alignment horizontal="center"/>
    </xf>
    <xf numFmtId="0" fontId="4" fillId="4" borderId="48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24" borderId="0" xfId="0" applyFont="1" applyFill="1" applyAlignment="1">
      <alignment horizontal="center"/>
    </xf>
    <xf numFmtId="0" fontId="80" fillId="4" borderId="74" xfId="3" applyFont="1" applyFill="1" applyBorder="1" applyAlignment="1">
      <alignment horizontal="center" vertical="center"/>
    </xf>
    <xf numFmtId="0" fontId="80" fillId="4" borderId="66" xfId="3" applyFont="1" applyFill="1" applyBorder="1" applyAlignment="1">
      <alignment horizontal="center" vertical="center"/>
    </xf>
    <xf numFmtId="0" fontId="4" fillId="0" borderId="55" xfId="3" applyFont="1" applyBorder="1" applyAlignment="1">
      <alignment horizontal="center"/>
    </xf>
    <xf numFmtId="0" fontId="4" fillId="0" borderId="56" xfId="3" applyFont="1" applyBorder="1" applyAlignment="1">
      <alignment horizontal="center"/>
    </xf>
    <xf numFmtId="0" fontId="3" fillId="0" borderId="56" xfId="3" applyBorder="1" applyAlignment="1">
      <alignment horizontal="center"/>
    </xf>
    <xf numFmtId="0" fontId="3" fillId="0" borderId="57" xfId="3" applyBorder="1" applyAlignment="1">
      <alignment horizontal="center"/>
    </xf>
    <xf numFmtId="0" fontId="80" fillId="4" borderId="74" xfId="3" applyFont="1" applyFill="1" applyBorder="1" applyAlignment="1">
      <alignment horizontal="center" vertical="top" shrinkToFit="1"/>
    </xf>
    <xf numFmtId="0" fontId="3" fillId="4" borderId="73" xfId="3" applyFill="1" applyBorder="1" applyAlignment="1">
      <alignment horizontal="center" vertical="top" shrinkToFit="1"/>
    </xf>
    <xf numFmtId="0" fontId="3" fillId="4" borderId="72" xfId="3" applyFill="1" applyBorder="1" applyAlignment="1">
      <alignment horizontal="center" vertical="top" shrinkToFit="1"/>
    </xf>
    <xf numFmtId="0" fontId="80" fillId="4" borderId="60" xfId="3" applyFont="1" applyFill="1" applyBorder="1" applyAlignment="1">
      <alignment horizontal="center"/>
    </xf>
    <xf numFmtId="0" fontId="80" fillId="4" borderId="62" xfId="3" applyFont="1" applyFill="1" applyBorder="1" applyAlignment="1">
      <alignment horizontal="center"/>
    </xf>
    <xf numFmtId="0" fontId="4" fillId="0" borderId="57" xfId="3" applyFont="1" applyBorder="1" applyAlignment="1">
      <alignment horizontal="center"/>
    </xf>
    <xf numFmtId="0" fontId="4" fillId="0" borderId="64" xfId="3" applyFont="1" applyBorder="1" applyAlignment="1">
      <alignment horizontal="center"/>
    </xf>
    <xf numFmtId="0" fontId="4" fillId="0" borderId="65" xfId="3" applyFont="1" applyBorder="1" applyAlignment="1">
      <alignment horizontal="center"/>
    </xf>
    <xf numFmtId="0" fontId="80" fillId="4" borderId="55" xfId="3" applyFont="1" applyFill="1" applyBorder="1" applyAlignment="1">
      <alignment horizontal="center"/>
    </xf>
    <xf numFmtId="0" fontId="80" fillId="4" borderId="56" xfId="3" applyFont="1" applyFill="1" applyBorder="1" applyAlignment="1">
      <alignment horizontal="center"/>
    </xf>
    <xf numFmtId="0" fontId="80" fillId="4" borderId="57" xfId="3" applyFont="1" applyFill="1" applyBorder="1" applyAlignment="1">
      <alignment horizontal="center"/>
    </xf>
    <xf numFmtId="0" fontId="3" fillId="4" borderId="61" xfId="3" applyFill="1" applyBorder="1" applyAlignment="1">
      <alignment horizontal="center"/>
    </xf>
    <xf numFmtId="0" fontId="3" fillId="4" borderId="62" xfId="3" applyFill="1" applyBorder="1" applyAlignment="1">
      <alignment horizontal="center"/>
    </xf>
    <xf numFmtId="0" fontId="4" fillId="4" borderId="60" xfId="3" applyFont="1" applyFill="1" applyBorder="1"/>
    <xf numFmtId="0" fontId="4" fillId="4" borderId="62" xfId="3" applyFont="1" applyFill="1" applyBorder="1"/>
    <xf numFmtId="0" fontId="4" fillId="0" borderId="18" xfId="3" applyFont="1" applyBorder="1" applyAlignment="1">
      <alignment horizontal="center"/>
    </xf>
    <xf numFmtId="0" fontId="4" fillId="0" borderId="11" xfId="3" applyFont="1" applyBorder="1" applyAlignment="1">
      <alignment horizontal="center"/>
    </xf>
    <xf numFmtId="0" fontId="4" fillId="0" borderId="58" xfId="3" applyFont="1" applyBorder="1" applyAlignment="1">
      <alignment horizontal="center"/>
    </xf>
  </cellXfs>
  <cellStyles count="8">
    <cellStyle name="Comma" xfId="1" builtinId="3"/>
    <cellStyle name="Comma 2" xfId="5" xr:uid="{00000000-0005-0000-0000-000001000000}"/>
    <cellStyle name="Hyperlink" xfId="2" builtinId="8"/>
    <cellStyle name="Hyperlink 2" xfId="7" xr:uid="{7897ACC2-7C15-4806-AE69-F5805461D676}"/>
    <cellStyle name="Normal" xfId="0" builtinId="0"/>
    <cellStyle name="Normal 2" xfId="3" xr:uid="{00000000-0005-0000-0000-000004000000}"/>
    <cellStyle name="Normal 3" xfId="4" xr:uid="{00000000-0005-0000-0000-000005000000}"/>
    <cellStyle name="Normal 4" xfId="6" xr:uid="{500057F8-7E71-45E8-A9DE-D4316585D26A}"/>
  </cellStyles>
  <dxfs count="16">
    <dxf>
      <font>
        <color theme="0"/>
      </font>
    </dxf>
    <dxf>
      <font>
        <b/>
        <i val="0"/>
        <color rgb="FFC00000"/>
      </font>
    </dxf>
    <dxf>
      <font>
        <color theme="0"/>
      </font>
      <fill>
        <patternFill>
          <bgColor theme="0"/>
        </patternFill>
      </fill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CFFFF"/>
      <color rgb="FF0000FF"/>
      <color rgb="FFC00000"/>
      <color rgb="FFCC00FF"/>
      <color rgb="FFC0C0C0"/>
      <color rgb="FFFFFFCC"/>
      <color rgb="FFFF9900"/>
      <color rgb="FFFF00FF"/>
      <color rgb="FF99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r>
              <a:rPr lang="en-US" sz="2000" u="none">
                <a:latin typeface="Arial" pitchFamily="34" charset="0"/>
                <a:cs typeface="Arial" pitchFamily="34" charset="0"/>
              </a:rPr>
              <a:t>Bode Plot, V</a:t>
            </a:r>
            <a:r>
              <a:rPr lang="en-US" sz="2000" u="none" baseline="-25000">
                <a:latin typeface="Arial" pitchFamily="34" charset="0"/>
                <a:cs typeface="Arial" pitchFamily="34" charset="0"/>
              </a:rPr>
              <a:t>IN</a:t>
            </a:r>
            <a:r>
              <a:rPr lang="en-US" sz="2000" u="none" baseline="0">
                <a:latin typeface="Arial" pitchFamily="34" charset="0"/>
                <a:cs typeface="Arial" pitchFamily="34" charset="0"/>
              </a:rPr>
              <a:t> = </a:t>
            </a:r>
            <a:r>
              <a:rPr lang="en-US" sz="2000" u="none">
                <a:latin typeface="Arial" pitchFamily="34" charset="0"/>
                <a:cs typeface="Arial" pitchFamily="34" charset="0"/>
              </a:rPr>
              <a:t>V</a:t>
            </a:r>
            <a:r>
              <a:rPr lang="en-US" sz="2000" u="none" baseline="-25000">
                <a:latin typeface="Arial" pitchFamily="34" charset="0"/>
                <a:cs typeface="Arial" pitchFamily="34" charset="0"/>
              </a:rPr>
              <a:t>IN(nom)</a:t>
            </a:r>
            <a:endParaRPr lang="en-US" sz="2000" u="none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8.0358613068103324E-2"/>
          <c:y val="2.06299212598425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865550467700392E-2"/>
          <c:y val="0.11264619116931211"/>
          <c:w val="0.82929752780099952"/>
          <c:h val="0.762051843542218"/>
        </c:manualLayout>
      </c:layout>
      <c:scatterChart>
        <c:scatterStyle val="smoothMarker"/>
        <c:varyColors val="0"/>
        <c:ser>
          <c:idx val="2"/>
          <c:order val="0"/>
          <c:tx>
            <c:v>Loop Gain</c:v>
          </c:tx>
          <c:spPr>
            <a:ln w="317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Calculations'!$Q$13:$Q$613</c:f>
              <c:numCache>
                <c:formatCode>0.00</c:formatCode>
                <c:ptCount val="601"/>
                <c:pt idx="0">
                  <c:v>77.384554546408935</c:v>
                </c:pt>
                <c:pt idx="1">
                  <c:v>76.624704706009709</c:v>
                </c:pt>
                <c:pt idx="2">
                  <c:v>75.858442293612029</c:v>
                </c:pt>
                <c:pt idx="3">
                  <c:v>75.086745504324412</c:v>
                </c:pt>
                <c:pt idx="4">
                  <c:v>74.310960858131182</c:v>
                </c:pt>
                <c:pt idx="5">
                  <c:v>73.530509375743833</c:v>
                </c:pt>
                <c:pt idx="6">
                  <c:v>72.747102328050985</c:v>
                </c:pt>
                <c:pt idx="7">
                  <c:v>71.960737673706276</c:v>
                </c:pt>
                <c:pt idx="8">
                  <c:v>71.172422640412918</c:v>
                </c:pt>
                <c:pt idx="9">
                  <c:v>70.381925905836042</c:v>
                </c:pt>
                <c:pt idx="10">
                  <c:v>69.590008620791565</c:v>
                </c:pt>
                <c:pt idx="11">
                  <c:v>68.796816310292428</c:v>
                </c:pt>
                <c:pt idx="12">
                  <c:v>68.002144610928127</c:v>
                </c:pt>
                <c:pt idx="13">
                  <c:v>67.206937801685882</c:v>
                </c:pt>
                <c:pt idx="14">
                  <c:v>66.410712640539742</c:v>
                </c:pt>
                <c:pt idx="15">
                  <c:v>65.613901490618048</c:v>
                </c:pt>
                <c:pt idx="16">
                  <c:v>64.816545637258031</c:v>
                </c:pt>
                <c:pt idx="17">
                  <c:v>64.018846373558887</c:v>
                </c:pt>
                <c:pt idx="18">
                  <c:v>63.220644991937633</c:v>
                </c:pt>
                <c:pt idx="19">
                  <c:v>62.422216325708646</c:v>
                </c:pt>
                <c:pt idx="20">
                  <c:v>61.62345096257674</c:v>
                </c:pt>
                <c:pt idx="21">
                  <c:v>60.824552712890522</c:v>
                </c:pt>
                <c:pt idx="22">
                  <c:v>60.02538443305987</c:v>
                </c:pt>
                <c:pt idx="23">
                  <c:v>59.226171276824431</c:v>
                </c:pt>
                <c:pt idx="24">
                  <c:v>58.42673221691642</c:v>
                </c:pt>
                <c:pt idx="25">
                  <c:v>57.627209179240431</c:v>
                </c:pt>
                <c:pt idx="26">
                  <c:v>56.827430606157812</c:v>
                </c:pt>
                <c:pt idx="27">
                  <c:v>56.027662976816927</c:v>
                </c:pt>
                <c:pt idx="28">
                  <c:v>55.227884709301833</c:v>
                </c:pt>
                <c:pt idx="29">
                  <c:v>54.42860021887941</c:v>
                </c:pt>
                <c:pt idx="30">
                  <c:v>53.628463851029728</c:v>
                </c:pt>
                <c:pt idx="31">
                  <c:v>52.828598208494867</c:v>
                </c:pt>
                <c:pt idx="32">
                  <c:v>52.028464124174285</c:v>
                </c:pt>
                <c:pt idx="33">
                  <c:v>51.228634088752955</c:v>
                </c:pt>
                <c:pt idx="34">
                  <c:v>50.428492648786246</c:v>
                </c:pt>
                <c:pt idx="35">
                  <c:v>49.628490474464783</c:v>
                </c:pt>
                <c:pt idx="36">
                  <c:v>48.828504385315341</c:v>
                </c:pt>
                <c:pt idx="37">
                  <c:v>48.028101599203588</c:v>
                </c:pt>
                <c:pt idx="38">
                  <c:v>47.228040934398265</c:v>
                </c:pt>
                <c:pt idx="39">
                  <c:v>46.427672646745947</c:v>
                </c:pt>
                <c:pt idx="40">
                  <c:v>45.627292013408109</c:v>
                </c:pt>
                <c:pt idx="41">
                  <c:v>44.826820033336318</c:v>
                </c:pt>
                <c:pt idx="42">
                  <c:v>44.026353564403571</c:v>
                </c:pt>
                <c:pt idx="43">
                  <c:v>43.225640013876912</c:v>
                </c:pt>
                <c:pt idx="44">
                  <c:v>42.424870518506907</c:v>
                </c:pt>
                <c:pt idx="45">
                  <c:v>41.623856761857269</c:v>
                </c:pt>
                <c:pt idx="46">
                  <c:v>40.822728054070019</c:v>
                </c:pt>
                <c:pt idx="47">
                  <c:v>40.021272928023272</c:v>
                </c:pt>
                <c:pt idx="48">
                  <c:v>39.219642153569829</c:v>
                </c:pt>
                <c:pt idx="49">
                  <c:v>38.41757583183427</c:v>
                </c:pt>
                <c:pt idx="50">
                  <c:v>37.615132569206921</c:v>
                </c:pt>
                <c:pt idx="51">
                  <c:v>36.812048760271466</c:v>
                </c:pt>
                <c:pt idx="52">
                  <c:v>36.008490951345337</c:v>
                </c:pt>
                <c:pt idx="53">
                  <c:v>35.204324981934164</c:v>
                </c:pt>
                <c:pt idx="54">
                  <c:v>34.399932793818458</c:v>
                </c:pt>
                <c:pt idx="55">
                  <c:v>33.593818688118759</c:v>
                </c:pt>
                <c:pt idx="56">
                  <c:v>32.786955704894652</c:v>
                </c:pt>
                <c:pt idx="57">
                  <c:v>31.97862653409787</c:v>
                </c:pt>
                <c:pt idx="58">
                  <c:v>31.169220846922222</c:v>
                </c:pt>
                <c:pt idx="59">
                  <c:v>30.357914000068178</c:v>
                </c:pt>
                <c:pt idx="60">
                  <c:v>29.544952332199948</c:v>
                </c:pt>
                <c:pt idx="61">
                  <c:v>28.730000038713925</c:v>
                </c:pt>
                <c:pt idx="62">
                  <c:v>27.912412759653517</c:v>
                </c:pt>
                <c:pt idx="63">
                  <c:v>27.092786565150565</c:v>
                </c:pt>
                <c:pt idx="64">
                  <c:v>26.270317415789627</c:v>
                </c:pt>
                <c:pt idx="65">
                  <c:v>25.445228519011479</c:v>
                </c:pt>
                <c:pt idx="66">
                  <c:v>24.617439702832606</c:v>
                </c:pt>
                <c:pt idx="67">
                  <c:v>23.787152237162278</c:v>
                </c:pt>
                <c:pt idx="68">
                  <c:v>22.954319163069663</c:v>
                </c:pt>
                <c:pt idx="69">
                  <c:v>22.119475844778723</c:v>
                </c:pt>
                <c:pt idx="70">
                  <c:v>21.282880878622137</c:v>
                </c:pt>
                <c:pt idx="71">
                  <c:v>20.445226447244117</c:v>
                </c:pt>
                <c:pt idx="72">
                  <c:v>19.606923246466167</c:v>
                </c:pt>
                <c:pt idx="73">
                  <c:v>18.768798511956803</c:v>
                </c:pt>
                <c:pt idx="74">
                  <c:v>17.931246798193147</c:v>
                </c:pt>
                <c:pt idx="75">
                  <c:v>17.094952588757621</c:v>
                </c:pt>
                <c:pt idx="76">
                  <c:v>16.260188736633118</c:v>
                </c:pt>
                <c:pt idx="77">
                  <c:v>15.427577123807346</c:v>
                </c:pt>
                <c:pt idx="78">
                  <c:v>14.597317597960185</c:v>
                </c:pt>
                <c:pt idx="79">
                  <c:v>13.770032976572466</c:v>
                </c:pt>
                <c:pt idx="80">
                  <c:v>12.944321775436967</c:v>
                </c:pt>
                <c:pt idx="81">
                  <c:v>12.121238235411269</c:v>
                </c:pt>
                <c:pt idx="82">
                  <c:v>11.300041925315586</c:v>
                </c:pt>
                <c:pt idx="83">
                  <c:v>10.481074147103882</c:v>
                </c:pt>
                <c:pt idx="84">
                  <c:v>9.6634137558373308</c:v>
                </c:pt>
                <c:pt idx="85">
                  <c:v>8.8471986927142172</c:v>
                </c:pt>
                <c:pt idx="86">
                  <c:v>8.0319564237641909</c:v>
                </c:pt>
                <c:pt idx="87">
                  <c:v>7.2168814656942821</c:v>
                </c:pt>
                <c:pt idx="88">
                  <c:v>6.4023647755496267</c:v>
                </c:pt>
                <c:pt idx="89">
                  <c:v>5.5873445603952536</c:v>
                </c:pt>
                <c:pt idx="90">
                  <c:v>4.7716989068051827</c:v>
                </c:pt>
                <c:pt idx="91">
                  <c:v>3.954896672066373</c:v>
                </c:pt>
                <c:pt idx="92">
                  <c:v>3.1365508916061469</c:v>
                </c:pt>
                <c:pt idx="93">
                  <c:v>2.315873532649674</c:v>
                </c:pt>
                <c:pt idx="94">
                  <c:v>2.1103752053126272</c:v>
                </c:pt>
                <c:pt idx="95">
                  <c:v>2.006920639921387</c:v>
                </c:pt>
                <c:pt idx="96">
                  <c:v>1.9046031125473049</c:v>
                </c:pt>
                <c:pt idx="97">
                  <c:v>1.8010630023597241</c:v>
                </c:pt>
                <c:pt idx="98">
                  <c:v>1.6986581923296225</c:v>
                </c:pt>
                <c:pt idx="99">
                  <c:v>1.5950012272753855</c:v>
                </c:pt>
                <c:pt idx="100">
                  <c:v>1.492478383434811</c:v>
                </c:pt>
                <c:pt idx="101">
                  <c:v>1.388753543980163</c:v>
                </c:pt>
                <c:pt idx="102">
                  <c:v>1.28616045586991</c:v>
                </c:pt>
                <c:pt idx="103">
                  <c:v>1.1822624907607602</c:v>
                </c:pt>
                <c:pt idx="104">
                  <c:v>1.0794960605448709</c:v>
                </c:pt>
                <c:pt idx="105">
                  <c:v>0.9754766799711192</c:v>
                </c:pt>
                <c:pt idx="106">
                  <c:v>0.87258736042007168</c:v>
                </c:pt>
                <c:pt idx="107">
                  <c:v>0.7684945344696209</c:v>
                </c:pt>
                <c:pt idx="108">
                  <c:v>0.66552912697164657</c:v>
                </c:pt>
                <c:pt idx="109">
                  <c:v>0.56133672475337115</c:v>
                </c:pt>
                <c:pt idx="110">
                  <c:v>0.45826952949526045</c:v>
                </c:pt>
                <c:pt idx="111">
                  <c:v>0.35388506037989886</c:v>
                </c:pt>
                <c:pt idx="112">
                  <c:v>0.25062543111824459</c:v>
                </c:pt>
                <c:pt idx="113">
                  <c:v>0.1460998824606837</c:v>
                </c:pt>
                <c:pt idx="114">
                  <c:v>4.2697566144390818E-2</c:v>
                </c:pt>
                <c:pt idx="115">
                  <c:v>-6.19878824073316E-2</c:v>
                </c:pt>
                <c:pt idx="116">
                  <c:v>-0.16555145025277124</c:v>
                </c:pt>
                <c:pt idx="117">
                  <c:v>-0.27041351128857549</c:v>
                </c:pt>
                <c:pt idx="118">
                  <c:v>-0.37415483725067578</c:v>
                </c:pt>
                <c:pt idx="119">
                  <c:v>-0.47914495494883919</c:v>
                </c:pt>
                <c:pt idx="120">
                  <c:v>-0.58301666362292104</c:v>
                </c:pt>
                <c:pt idx="121">
                  <c:v>-0.68815184466865209</c:v>
                </c:pt>
                <c:pt idx="122">
                  <c:v>-0.79217072768491925</c:v>
                </c:pt>
                <c:pt idx="123">
                  <c:v>-0.89752682646570936</c:v>
                </c:pt>
                <c:pt idx="124">
                  <c:v>-1.0017672891747935</c:v>
                </c:pt>
                <c:pt idx="125">
                  <c:v>-1.1072945625296682</c:v>
                </c:pt>
                <c:pt idx="126">
                  <c:v>-1.2117080648251304</c:v>
                </c:pt>
                <c:pt idx="127">
                  <c:v>-1.3174185430629506</c:v>
                </c:pt>
                <c:pt idx="128">
                  <c:v>-1.4220170135020294</c:v>
                </c:pt>
                <c:pt idx="129">
                  <c:v>-1.5279213007065819</c:v>
                </c:pt>
                <c:pt idx="130">
                  <c:v>-1.6327152728719438</c:v>
                </c:pt>
                <c:pt idx="131">
                  <c:v>-1.7388226657072643</c:v>
                </c:pt>
                <c:pt idx="132">
                  <c:v>-1.7914589766198161</c:v>
                </c:pt>
                <c:pt idx="133">
                  <c:v>-1.8438213936368544</c:v>
                </c:pt>
                <c:pt idx="134">
                  <c:v>-1.8971481633953078</c:v>
                </c:pt>
                <c:pt idx="135">
                  <c:v>-1.9501945919856118</c:v>
                </c:pt>
                <c:pt idx="136">
                  <c:v>-2.0029639944704822</c:v>
                </c:pt>
                <c:pt idx="137">
                  <c:v>-2.0554596277565929</c:v>
                </c:pt>
                <c:pt idx="138">
                  <c:v>-2.1088672838053135</c:v>
                </c:pt>
                <c:pt idx="139">
                  <c:v>-2.1619953081112913</c:v>
                </c:pt>
                <c:pt idx="140">
                  <c:v>-2.2148470042993629</c:v>
                </c:pt>
                <c:pt idx="141">
                  <c:v>-2.2674256180146868</c:v>
                </c:pt>
                <c:pt idx="142">
                  <c:v>-2.3209715067765253</c:v>
                </c:pt>
                <c:pt idx="143">
                  <c:v>-2.3742379110555034</c:v>
                </c:pt>
                <c:pt idx="144">
                  <c:v>-2.4272281326463592</c:v>
                </c:pt>
                <c:pt idx="145">
                  <c:v>-2.4799454153118985</c:v>
                </c:pt>
                <c:pt idx="146">
                  <c:v>-2.5336046755020587</c:v>
                </c:pt>
                <c:pt idx="147">
                  <c:v>-2.5869848954071752</c:v>
                </c:pt>
                <c:pt idx="148">
                  <c:v>-2.6400893693836207</c:v>
                </c:pt>
                <c:pt idx="149">
                  <c:v>-2.6929213338300788</c:v>
                </c:pt>
                <c:pt idx="150">
                  <c:v>-2.7466961289451062</c:v>
                </c:pt>
                <c:pt idx="151">
                  <c:v>-2.8001923410622567</c:v>
                </c:pt>
                <c:pt idx="152">
                  <c:v>-2.8534132564737313</c:v>
                </c:pt>
                <c:pt idx="153">
                  <c:v>-2.9063621035987497</c:v>
                </c:pt>
                <c:pt idx="154">
                  <c:v>-2.9602789520947539</c:v>
                </c:pt>
                <c:pt idx="155">
                  <c:v>-3.0139174362797223</c:v>
                </c:pt>
                <c:pt idx="156">
                  <c:v>-3.0672808381586423</c:v>
                </c:pt>
                <c:pt idx="157">
                  <c:v>-3.1203723818556157</c:v>
                </c:pt>
                <c:pt idx="158">
                  <c:v>-3.17443120926559</c:v>
                </c:pt>
                <c:pt idx="159">
                  <c:v>-3.2282119273444225</c:v>
                </c:pt>
                <c:pt idx="160">
                  <c:v>-3.2817178126975506</c:v>
                </c:pt>
                <c:pt idx="161">
                  <c:v>-3.3349520840636906</c:v>
                </c:pt>
                <c:pt idx="162">
                  <c:v>-3.3891288291476713</c:v>
                </c:pt>
                <c:pt idx="163">
                  <c:v>-3.4430279994908037</c:v>
                </c:pt>
                <c:pt idx="164">
                  <c:v>-3.4966528608681093</c:v>
                </c:pt>
                <c:pt idx="165">
                  <c:v>-3.5500066213259815</c:v>
                </c:pt>
                <c:pt idx="166">
                  <c:v>-3.6043487090919859</c:v>
                </c:pt>
                <c:pt idx="167">
                  <c:v>-3.6584133033868911</c:v>
                </c:pt>
                <c:pt idx="168">
                  <c:v>-3.7122036665883238</c:v>
                </c:pt>
                <c:pt idx="169">
                  <c:v>-3.7657230033054456</c:v>
                </c:pt>
                <c:pt idx="170">
                  <c:v>-3.8201142838943398</c:v>
                </c:pt>
                <c:pt idx="171">
                  <c:v>-3.8742293614985019</c:v>
                </c:pt>
                <c:pt idx="172">
                  <c:v>-3.9280714732894078</c:v>
                </c:pt>
                <c:pt idx="173">
                  <c:v>-3.9816437991408717</c:v>
                </c:pt>
                <c:pt idx="174">
                  <c:v>-4.0362898840721568</c:v>
                </c:pt>
                <c:pt idx="175">
                  <c:v>-4.0906589985699782</c:v>
                </c:pt>
                <c:pt idx="176">
                  <c:v>-4.1447543900864448</c:v>
                </c:pt>
                <c:pt idx="177">
                  <c:v>-4.1985792484086772</c:v>
                </c:pt>
                <c:pt idx="178">
                  <c:v>-4.2534503514082225</c:v>
                </c:pt>
                <c:pt idx="179">
                  <c:v>-4.3080440523374302</c:v>
                </c:pt>
                <c:pt idx="180">
                  <c:v>-4.3623636023548764</c:v>
                </c:pt>
                <c:pt idx="181">
                  <c:v>-4.4164121947385659</c:v>
                </c:pt>
                <c:pt idx="182">
                  <c:v>-4.4712658711320188</c:v>
                </c:pt>
                <c:pt idx="183">
                  <c:v>-4.5258441759863093</c:v>
                </c:pt>
                <c:pt idx="184">
                  <c:v>-4.5801503204088005</c:v>
                </c:pt>
                <c:pt idx="185">
                  <c:v>-4.6341874584446394</c:v>
                </c:pt>
                <c:pt idx="186">
                  <c:v>-4.6894310405950455</c:v>
                </c:pt>
                <c:pt idx="187">
                  <c:v>-4.7443972157774725</c:v>
                </c:pt>
                <c:pt idx="188">
                  <c:v>-4.7990892253469983</c:v>
                </c:pt>
                <c:pt idx="189">
                  <c:v>-4.8535102527505085</c:v>
                </c:pt>
                <c:pt idx="190">
                  <c:v>-4.9086942978919188</c:v>
                </c:pt>
                <c:pt idx="191">
                  <c:v>-4.9636034168232399</c:v>
                </c:pt>
                <c:pt idx="192">
                  <c:v>-5.0182408016242865</c:v>
                </c:pt>
                <c:pt idx="193">
                  <c:v>-5.0726095875061938</c:v>
                </c:pt>
                <c:pt idx="194">
                  <c:v>-5.1281277475901241</c:v>
                </c:pt>
                <c:pt idx="195">
                  <c:v>-5.1833695521600651</c:v>
                </c:pt>
                <c:pt idx="196">
                  <c:v>-5.2383382112884691</c:v>
                </c:pt>
                <c:pt idx="197">
                  <c:v>-5.2930368776246901</c:v>
                </c:pt>
                <c:pt idx="198">
                  <c:v>-5.3486576211221077</c:v>
                </c:pt>
                <c:pt idx="199">
                  <c:v>-5.4040028966692031</c:v>
                </c:pt>
                <c:pt idx="200">
                  <c:v>-5.4590758912689008</c:v>
                </c:pt>
                <c:pt idx="201">
                  <c:v>-5.5138797349240134</c:v>
                </c:pt>
                <c:pt idx="202">
                  <c:v>-5.5695832788509474</c:v>
                </c:pt>
                <c:pt idx="203">
                  <c:v>-5.6250124381410735</c:v>
                </c:pt>
                <c:pt idx="204">
                  <c:v>-5.6801703726221575</c:v>
                </c:pt>
                <c:pt idx="205">
                  <c:v>-5.7350601856466614</c:v>
                </c:pt>
                <c:pt idx="206">
                  <c:v>-5.7910185966986454</c:v>
                </c:pt>
                <c:pt idx="207">
                  <c:v>-5.8467020187253649</c:v>
                </c:pt>
                <c:pt idx="208">
                  <c:v>-5.9021136126400551</c:v>
                </c:pt>
                <c:pt idx="209">
                  <c:v>-5.9572564827387167</c:v>
                </c:pt>
                <c:pt idx="210">
                  <c:v>-6.0136283339890815</c:v>
                </c:pt>
                <c:pt idx="211">
                  <c:v>-6.0697230505312465</c:v>
                </c:pt>
                <c:pt idx="212">
                  <c:v>-6.1255438198945997</c:v>
                </c:pt>
                <c:pt idx="213">
                  <c:v>-6.1810937722446671</c:v>
                </c:pt>
                <c:pt idx="214">
                  <c:v>-6.2374752517081387</c:v>
                </c:pt>
                <c:pt idx="215">
                  <c:v>-6.2935814106372625</c:v>
                </c:pt>
                <c:pt idx="216">
                  <c:v>-6.3494153942641756</c:v>
                </c:pt>
                <c:pt idx="217">
                  <c:v>-6.4049802913638674</c:v>
                </c:pt>
                <c:pt idx="218">
                  <c:v>-6.4615369424656599</c:v>
                </c:pt>
                <c:pt idx="219">
                  <c:v>-6.5178184570868698</c:v>
                </c:pt>
                <c:pt idx="220">
                  <c:v>-6.5738279653349982</c:v>
                </c:pt>
                <c:pt idx="221">
                  <c:v>-6.62956854112762</c:v>
                </c:pt>
                <c:pt idx="222">
                  <c:v>-6.6862768926014917</c:v>
                </c:pt>
                <c:pt idx="223">
                  <c:v>-6.7427105098923859</c:v>
                </c:pt>
                <c:pt idx="224">
                  <c:v>-6.7988725034541648</c:v>
                </c:pt>
                <c:pt idx="225">
                  <c:v>-6.8547659279370201</c:v>
                </c:pt>
                <c:pt idx="226">
                  <c:v>-6.9117767812678563</c:v>
                </c:pt>
                <c:pt idx="227">
                  <c:v>-6.9685118355142954</c:v>
                </c:pt>
                <c:pt idx="228">
                  <c:v>-7.0249742054451092</c:v>
                </c:pt>
                <c:pt idx="229">
                  <c:v>-7.0811669498521423</c:v>
                </c:pt>
                <c:pt idx="230">
                  <c:v>-7.1954558412531853</c:v>
                </c:pt>
                <c:pt idx="231">
                  <c:v>-7.2521885376183359</c:v>
                </c:pt>
                <c:pt idx="232">
                  <c:v>-7.3086508294214303</c:v>
                </c:pt>
                <c:pt idx="233">
                  <c:v>-7.3661764975786745</c:v>
                </c:pt>
                <c:pt idx="234">
                  <c:v>-7.4234250807682924</c:v>
                </c:pt>
                <c:pt idx="235">
                  <c:v>-7.4803996853323484</c:v>
                </c:pt>
                <c:pt idx="236">
                  <c:v>-7.5371033617403693</c:v>
                </c:pt>
                <c:pt idx="237">
                  <c:v>-7.5946814262817277</c:v>
                </c:pt>
                <c:pt idx="238">
                  <c:v>-7.6519837003630577</c:v>
                </c:pt>
                <c:pt idx="239">
                  <c:v>-7.709013252527174</c:v>
                </c:pt>
                <c:pt idx="240">
                  <c:v>-7.7657730963239482</c:v>
                </c:pt>
                <c:pt idx="241">
                  <c:v>-7.8237071458668623</c:v>
                </c:pt>
                <c:pt idx="242">
                  <c:v>-7.881363767231047</c:v>
                </c:pt>
                <c:pt idx="243">
                  <c:v>-7.9387460393149931</c:v>
                </c:pt>
                <c:pt idx="244">
                  <c:v>-7.9958569857743349</c:v>
                </c:pt>
                <c:pt idx="245">
                  <c:v>-8.0539562289347906</c:v>
                </c:pt>
                <c:pt idx="246">
                  <c:v>-8.1117782050509</c:v>
                </c:pt>
                <c:pt idx="247">
                  <c:v>-8.1693259727702099</c:v>
                </c:pt>
                <c:pt idx="248">
                  <c:v>-8.2266025359978627</c:v>
                </c:pt>
                <c:pt idx="249">
                  <c:v>-8.2849979651265624</c:v>
                </c:pt>
                <c:pt idx="250">
                  <c:v>-8.3431150097850448</c:v>
                </c:pt>
                <c:pt idx="251">
                  <c:v>-8.4009567288367464</c:v>
                </c:pt>
                <c:pt idx="252">
                  <c:v>-8.4585261264382741</c:v>
                </c:pt>
                <c:pt idx="253">
                  <c:v>-8.5170359627150685</c:v>
                </c:pt>
                <c:pt idx="254">
                  <c:v>-8.5752679915448589</c:v>
                </c:pt>
                <c:pt idx="255">
                  <c:v>-8.6332252436471855</c:v>
                </c:pt>
                <c:pt idx="256">
                  <c:v>-8.6909106957671991</c:v>
                </c:pt>
                <c:pt idx="257">
                  <c:v>-8.7498112008487166</c:v>
                </c:pt>
                <c:pt idx="258">
                  <c:v>-8.8084318189563167</c:v>
                </c:pt>
                <c:pt idx="259">
                  <c:v>-8.8667755955454535</c:v>
                </c:pt>
                <c:pt idx="260">
                  <c:v>-8.9248455218385399</c:v>
                </c:pt>
                <c:pt idx="261">
                  <c:v>-8.9839550242970549</c:v>
                </c:pt>
                <c:pt idx="262">
                  <c:v>-9.0427842477798723</c:v>
                </c:pt>
                <c:pt idx="263">
                  <c:v>-9.1013362244945348</c:v>
                </c:pt>
                <c:pt idx="264">
                  <c:v>-9.1596139328458417</c:v>
                </c:pt>
                <c:pt idx="265">
                  <c:v>-9.2189062692758537</c:v>
                </c:pt>
                <c:pt idx="266">
                  <c:v>-9.277918139377002</c:v>
                </c:pt>
                <c:pt idx="267">
                  <c:v>-9.3366525585570326</c:v>
                </c:pt>
                <c:pt idx="268">
                  <c:v>-9.3951124889604074</c:v>
                </c:pt>
                <c:pt idx="269">
                  <c:v>-9.4547030213035299</c:v>
                </c:pt>
                <c:pt idx="270">
                  <c:v>-9.5140117676782072</c:v>
                </c:pt>
                <c:pt idx="271">
                  <c:v>-9.5730417446877887</c:v>
                </c:pt>
                <c:pt idx="272">
                  <c:v>-9.6317959158161219</c:v>
                </c:pt>
                <c:pt idx="273">
                  <c:v>-9.6916531975150857</c:v>
                </c:pt>
                <c:pt idx="274">
                  <c:v>-9.7512276282932415</c:v>
                </c:pt>
                <c:pt idx="275">
                  <c:v>-9.8105222216697427</c:v>
                </c:pt>
                <c:pt idx="276">
                  <c:v>-9.8695399383166631</c:v>
                </c:pt>
                <c:pt idx="277">
                  <c:v>-9.9294989965648721</c:v>
                </c:pt>
                <c:pt idx="278">
                  <c:v>-9.9891756462862418</c:v>
                </c:pt>
                <c:pt idx="279">
                  <c:v>-10.048572873998276</c:v>
                </c:pt>
                <c:pt idx="280">
                  <c:v>-10.107693614225697</c:v>
                </c:pt>
                <c:pt idx="281">
                  <c:v>-10.168131024798388</c:v>
                </c:pt>
                <c:pt idx="282">
                  <c:v>-10.228282878095678</c:v>
                </c:pt>
                <c:pt idx="283">
                  <c:v>-10.288152190564153</c:v>
                </c:pt>
                <c:pt idx="284">
                  <c:v>-10.347741926220518</c:v>
                </c:pt>
                <c:pt idx="285">
                  <c:v>-10.40822545268259</c:v>
                </c:pt>
                <c:pt idx="286">
                  <c:v>-10.468424297531593</c:v>
                </c:pt>
                <c:pt idx="287">
                  <c:v>-10.528341443808584</c:v>
                </c:pt>
                <c:pt idx="288">
                  <c:v>-10.587979823174853</c:v>
                </c:pt>
                <c:pt idx="289">
                  <c:v>-10.648873919803972</c:v>
                </c:pt>
                <c:pt idx="290">
                  <c:v>-10.709480733802319</c:v>
                </c:pt>
                <c:pt idx="291">
                  <c:v>-10.769803269749707</c:v>
                </c:pt>
                <c:pt idx="292">
                  <c:v>-10.829844480659787</c:v>
                </c:pt>
                <c:pt idx="293">
                  <c:v>-10.890985073511917</c:v>
                </c:pt>
                <c:pt idx="294">
                  <c:v>-10.951837282326107</c:v>
                </c:pt>
                <c:pt idx="295">
                  <c:v>-11.012404110071266</c:v>
                </c:pt>
                <c:pt idx="296">
                  <c:v>-11.072688508517828</c:v>
                </c:pt>
                <c:pt idx="297">
                  <c:v>-11.134045519759315</c:v>
                </c:pt>
                <c:pt idx="298">
                  <c:v>-11.195113283398971</c:v>
                </c:pt>
                <c:pt idx="299">
                  <c:v>-11.255894797645198</c:v>
                </c:pt>
                <c:pt idx="300">
                  <c:v>-11.316393009966779</c:v>
                </c:pt>
                <c:pt idx="301">
                  <c:v>-11.377937787087602</c:v>
                </c:pt>
                <c:pt idx="302">
                  <c:v>-11.439192678029855</c:v>
                </c:pt>
                <c:pt idx="303">
                  <c:v>-11.500160673453477</c:v>
                </c:pt>
                <c:pt idx="304">
                  <c:v>-11.560844713815898</c:v>
                </c:pt>
                <c:pt idx="305">
                  <c:v>-11.62278674357718</c:v>
                </c:pt>
                <c:pt idx="306">
                  <c:v>-11.684436235797191</c:v>
                </c:pt>
                <c:pt idx="307">
                  <c:v>-11.745796205363595</c:v>
                </c:pt>
                <c:pt idx="308">
                  <c:v>-11.806869616806344</c:v>
                </c:pt>
                <c:pt idx="309">
                  <c:v>-11.86893736527654</c:v>
                </c:pt>
                <c:pt idx="310">
                  <c:v>-11.930712442588728</c:v>
                </c:pt>
                <c:pt idx="311">
                  <c:v>-11.992197849867434</c:v>
                </c:pt>
                <c:pt idx="312">
                  <c:v>-12.053396538579719</c:v>
                </c:pt>
                <c:pt idx="313">
                  <c:v>-12.115793618920261</c:v>
                </c:pt>
                <c:pt idx="314">
                  <c:v>-12.17789593914828</c:v>
                </c:pt>
                <c:pt idx="315">
                  <c:v>-12.239706517574334</c:v>
                </c:pt>
                <c:pt idx="316">
                  <c:v>-12.301228322877705</c:v>
                </c:pt>
                <c:pt idx="317">
                  <c:v>-12.363918813835443</c:v>
                </c:pt>
                <c:pt idx="318">
                  <c:v>-12.426312760078982</c:v>
                </c:pt>
                <c:pt idx="319">
                  <c:v>-12.488413193352129</c:v>
                </c:pt>
                <c:pt idx="320">
                  <c:v>-12.550223095883517</c:v>
                </c:pt>
                <c:pt idx="321">
                  <c:v>-12.613172754188515</c:v>
                </c:pt>
                <c:pt idx="322">
                  <c:v>-12.675824375525311</c:v>
                </c:pt>
                <c:pt idx="323">
                  <c:v>-12.738181001596889</c:v>
                </c:pt>
                <c:pt idx="324">
                  <c:v>-12.800245624784798</c:v>
                </c:pt>
                <c:pt idx="325">
                  <c:v>-12.863421842791752</c:v>
                </c:pt>
                <c:pt idx="326">
                  <c:v>-12.926298812292041</c:v>
                </c:pt>
                <c:pt idx="327">
                  <c:v>-12.988879581725625</c:v>
                </c:pt>
                <c:pt idx="328">
                  <c:v>-13.051167150470548</c:v>
                </c:pt>
                <c:pt idx="329">
                  <c:v>-13.11464463444157</c:v>
                </c:pt>
                <c:pt idx="330">
                  <c:v>-13.177820928118258</c:v>
                </c:pt>
                <c:pt idx="331">
                  <c:v>-13.240699098892586</c:v>
                </c:pt>
                <c:pt idx="332">
                  <c:v>-13.303282165085847</c:v>
                </c:pt>
                <c:pt idx="333">
                  <c:v>-13.366921770152118</c:v>
                </c:pt>
                <c:pt idx="334">
                  <c:v>-13.430259540496136</c:v>
                </c:pt>
                <c:pt idx="335">
                  <c:v>-13.493298543804002</c:v>
                </c:pt>
                <c:pt idx="336">
                  <c:v>-13.556041799066529</c:v>
                </c:pt>
                <c:pt idx="337">
                  <c:v>-13.620019275668614</c:v>
                </c:pt>
                <c:pt idx="338">
                  <c:v>-13.683692592453918</c:v>
                </c:pt>
                <c:pt idx="339">
                  <c:v>-13.747064844072286</c:v>
                </c:pt>
                <c:pt idx="340">
                  <c:v>-13.810139076274449</c:v>
                </c:pt>
                <c:pt idx="341">
                  <c:v>-13.874416593105872</c:v>
                </c:pt>
                <c:pt idx="342">
                  <c:v>-13.938387971161363</c:v>
                </c:pt>
                <c:pt idx="343">
                  <c:v>-14.002056327855122</c:v>
                </c:pt>
                <c:pt idx="344">
                  <c:v>-14.065424731569307</c:v>
                </c:pt>
                <c:pt idx="345">
                  <c:v>-14.129868307323143</c:v>
                </c:pt>
                <c:pt idx="346">
                  <c:v>-14.19400503070845</c:v>
                </c:pt>
                <c:pt idx="347">
                  <c:v>-14.257838023666379</c:v>
                </c:pt>
                <c:pt idx="348">
                  <c:v>-14.321370359330048</c:v>
                </c:pt>
                <c:pt idx="349">
                  <c:v>-14.386143679978101</c:v>
                </c:pt>
                <c:pt idx="350">
                  <c:v>-14.450607874313665</c:v>
                </c:pt>
                <c:pt idx="351">
                  <c:v>-14.514766093552495</c:v>
                </c:pt>
                <c:pt idx="352">
                  <c:v>-14.57862143978417</c:v>
                </c:pt>
                <c:pt idx="353">
                  <c:v>-14.643686564455434</c:v>
                </c:pt>
                <c:pt idx="354">
                  <c:v>-14.708440649315715</c:v>
                </c:pt>
                <c:pt idx="355">
                  <c:v>-14.772886870283893</c:v>
                </c:pt>
                <c:pt idx="356">
                  <c:v>-14.837028353900312</c:v>
                </c:pt>
                <c:pt idx="357">
                  <c:v>-14.902256697750166</c:v>
                </c:pt>
                <c:pt idx="358">
                  <c:v>-14.967173318217595</c:v>
                </c:pt>
                <c:pt idx="359">
                  <c:v>-15.031781397958632</c:v>
                </c:pt>
                <c:pt idx="360">
                  <c:v>-15.096084070336001</c:v>
                </c:pt>
                <c:pt idx="361">
                  <c:v>-15.161628363557737</c:v>
                </c:pt>
                <c:pt idx="362">
                  <c:v>-15.226858799089225</c:v>
                </c:pt>
                <c:pt idx="363">
                  <c:v>-15.291778589214669</c:v>
                </c:pt>
                <c:pt idx="364">
                  <c:v>-15.356390896502656</c:v>
                </c:pt>
                <c:pt idx="365">
                  <c:v>-15.422124466698186</c:v>
                </c:pt>
                <c:pt idx="366">
                  <c:v>-15.487543264701531</c:v>
                </c:pt>
                <c:pt idx="367">
                  <c:v>-15.552650514357707</c:v>
                </c:pt>
                <c:pt idx="368">
                  <c:v>-15.617449389708419</c:v>
                </c:pt>
                <c:pt idx="369">
                  <c:v>-15.683516507979029</c:v>
                </c:pt>
                <c:pt idx="370">
                  <c:v>-15.749266572103249</c:v>
                </c:pt>
                <c:pt idx="371">
                  <c:v>-15.814702838935187</c:v>
                </c:pt>
                <c:pt idx="372">
                  <c:v>-15.879828514958522</c:v>
                </c:pt>
                <c:pt idx="373">
                  <c:v>-15.946104656946147</c:v>
                </c:pt>
                <c:pt idx="374">
                  <c:v>-16.012062669130554</c:v>
                </c:pt>
                <c:pt idx="375">
                  <c:v>-16.077705823194073</c:v>
                </c:pt>
                <c:pt idx="376">
                  <c:v>-16.143037340216274</c:v>
                </c:pt>
                <c:pt idx="377">
                  <c:v>-16.209658907850727</c:v>
                </c:pt>
                <c:pt idx="378">
                  <c:v>-16.275959978184474</c:v>
                </c:pt>
                <c:pt idx="379">
                  <c:v>-16.341943857824781</c:v>
                </c:pt>
                <c:pt idx="380">
                  <c:v>-16.407613802090729</c:v>
                </c:pt>
                <c:pt idx="381">
                  <c:v>-16.474376088385345</c:v>
                </c:pt>
                <c:pt idx="382">
                  <c:v>-16.540817490600833</c:v>
                </c:pt>
                <c:pt idx="383">
                  <c:v>-16.606941319756849</c:v>
                </c:pt>
                <c:pt idx="384">
                  <c:v>-16.672750835489939</c:v>
                </c:pt>
                <c:pt idx="385">
                  <c:v>-16.739868580472908</c:v>
                </c:pt>
                <c:pt idx="386">
                  <c:v>-16.806663009926854</c:v>
                </c:pt>
                <c:pt idx="387">
                  <c:v>-16.873137470758945</c:v>
                </c:pt>
                <c:pt idx="388">
                  <c:v>-16.939295257710835</c:v>
                </c:pt>
                <c:pt idx="389">
                  <c:v>-17.006648704855817</c:v>
                </c:pt>
                <c:pt idx="390">
                  <c:v>-17.073677572422891</c:v>
                </c:pt>
                <c:pt idx="391">
                  <c:v>-17.140385224887616</c:v>
                </c:pt>
                <c:pt idx="392">
                  <c:v>-17.206774974120705</c:v>
                </c:pt>
                <c:pt idx="393">
                  <c:v>-17.274330449108749</c:v>
                </c:pt>
                <c:pt idx="394">
                  <c:v>-17.341560419801581</c:v>
                </c:pt>
                <c:pt idx="395">
                  <c:v>-17.408468262542048</c:v>
                </c:pt>
                <c:pt idx="396">
                  <c:v>-17.475057300714973</c:v>
                </c:pt>
                <c:pt idx="397">
                  <c:v>-17.542935861931465</c:v>
                </c:pt>
                <c:pt idx="398">
                  <c:v>-17.610486843520363</c:v>
                </c:pt>
                <c:pt idx="399">
                  <c:v>-17.677713650978397</c:v>
                </c:pt>
                <c:pt idx="400">
                  <c:v>-17.744619636100058</c:v>
                </c:pt>
                <c:pt idx="401">
                  <c:v>-17.812707584302487</c:v>
                </c:pt>
                <c:pt idx="402">
                  <c:v>-17.880466984157536</c:v>
                </c:pt>
                <c:pt idx="403">
                  <c:v>-17.947901252387648</c:v>
                </c:pt>
                <c:pt idx="404">
                  <c:v>-18.015013751617754</c:v>
                </c:pt>
                <c:pt idx="405">
                  <c:v>-18.083352247541033</c:v>
                </c:pt>
                <c:pt idx="406">
                  <c:v>-18.151360838632048</c:v>
                </c:pt>
                <c:pt idx="407">
                  <c:v>-18.219042958003513</c:v>
                </c:pt>
                <c:pt idx="408">
                  <c:v>-18.28640198414487</c:v>
                </c:pt>
                <c:pt idx="409">
                  <c:v>-18.355028391651484</c:v>
                </c:pt>
                <c:pt idx="410">
                  <c:v>-18.423323183244751</c:v>
                </c:pt>
                <c:pt idx="411">
                  <c:v>-18.491289812958325</c:v>
                </c:pt>
                <c:pt idx="412">
                  <c:v>-18.55893167956247</c:v>
                </c:pt>
                <c:pt idx="413">
                  <c:v>-18.62780898477159</c:v>
                </c:pt>
                <c:pt idx="414">
                  <c:v>-18.696353321316433</c:v>
                </c:pt>
                <c:pt idx="415">
                  <c:v>-18.764568157461593</c:v>
                </c:pt>
                <c:pt idx="416">
                  <c:v>-18.83245690569694</c:v>
                </c:pt>
                <c:pt idx="417">
                  <c:v>-18.901619469141757</c:v>
                </c:pt>
                <c:pt idx="418">
                  <c:v>-18.970447376341607</c:v>
                </c:pt>
                <c:pt idx="419">
                  <c:v>-19.038944113803172</c:v>
                </c:pt>
                <c:pt idx="420">
                  <c:v>-19.107113111652843</c:v>
                </c:pt>
                <c:pt idx="421">
                  <c:v>-19.176455692693782</c:v>
                </c:pt>
                <c:pt idx="422">
                  <c:v>-19.245462937317619</c:v>
                </c:pt>
                <c:pt idx="423">
                  <c:v>-19.314138333297915</c:v>
                </c:pt>
                <c:pt idx="424">
                  <c:v>-19.382485311785604</c:v>
                </c:pt>
                <c:pt idx="425">
                  <c:v>-19.452176947531427</c:v>
                </c:pt>
                <c:pt idx="426">
                  <c:v>-19.521530920227001</c:v>
                </c:pt>
                <c:pt idx="427">
                  <c:v>-19.590550743200655</c:v>
                </c:pt>
                <c:pt idx="428">
                  <c:v>-19.659239872394071</c:v>
                </c:pt>
                <c:pt idx="429">
                  <c:v>-19.72917393980034</c:v>
                </c:pt>
                <c:pt idx="430">
                  <c:v>-19.798769028380804</c:v>
                </c:pt>
                <c:pt idx="431">
                  <c:v>-19.868028659885663</c:v>
                </c:pt>
                <c:pt idx="432">
                  <c:v>-19.936956298293872</c:v>
                </c:pt>
                <c:pt idx="433">
                  <c:v>-20.007097485502317</c:v>
                </c:pt>
                <c:pt idx="434">
                  <c:v>-20.076898693593815</c:v>
                </c:pt>
                <c:pt idx="435">
                  <c:v>-20.146363446455297</c:v>
                </c:pt>
                <c:pt idx="436">
                  <c:v>-20.21549520997052</c:v>
                </c:pt>
                <c:pt idx="437">
                  <c:v>-20.285936052712511</c:v>
                </c:pt>
                <c:pt idx="438">
                  <c:v>-20.35603498837763</c:v>
                </c:pt>
                <c:pt idx="439">
                  <c:v>-20.425795555988348</c:v>
                </c:pt>
                <c:pt idx="440">
                  <c:v>-20.495221236067771</c:v>
                </c:pt>
                <c:pt idx="441">
                  <c:v>-20.56592268993824</c:v>
                </c:pt>
                <c:pt idx="442">
                  <c:v>-20.636280648297994</c:v>
                </c:pt>
                <c:pt idx="443">
                  <c:v>-20.706298658663247</c:v>
                </c:pt>
                <c:pt idx="444">
                  <c:v>-20.775980209725819</c:v>
                </c:pt>
                <c:pt idx="445">
                  <c:v>-20.846905125214331</c:v>
                </c:pt>
                <c:pt idx="446">
                  <c:v>-20.917485272071477</c:v>
                </c:pt>
                <c:pt idx="447">
                  <c:v>-20.987724200138743</c:v>
                </c:pt>
                <c:pt idx="448">
                  <c:v>-21.057625400275452</c:v>
                </c:pt>
                <c:pt idx="449">
                  <c:v>-21.128857355957358</c:v>
                </c:pt>
                <c:pt idx="450">
                  <c:v>-21.199742407535396</c:v>
                </c:pt>
                <c:pt idx="451">
                  <c:v>-21.270284119225131</c:v>
                </c:pt>
                <c:pt idx="452">
                  <c:v>-21.340485995871816</c:v>
                </c:pt>
                <c:pt idx="453">
                  <c:v>-21.411926175479245</c:v>
                </c:pt>
                <c:pt idx="454">
                  <c:v>-21.483018218372205</c:v>
                </c:pt>
                <c:pt idx="455">
                  <c:v>-21.553765688131872</c:v>
                </c:pt>
                <c:pt idx="456">
                  <c:v>-21.624172088953703</c:v>
                </c:pt>
                <c:pt idx="457">
                  <c:v>-21.695899636949726</c:v>
                </c:pt>
                <c:pt idx="458">
                  <c:v>-21.767276982787841</c:v>
                </c:pt>
                <c:pt idx="459">
                  <c:v>-21.838307701179144</c:v>
                </c:pt>
                <c:pt idx="460">
                  <c:v>-21.908995307217381</c:v>
                </c:pt>
                <c:pt idx="461">
                  <c:v>-21.980970024729707</c:v>
                </c:pt>
                <c:pt idx="462">
                  <c:v>-22.052592797600106</c:v>
                </c:pt>
                <c:pt idx="463">
                  <c:v>-22.123867205860854</c:v>
                </c:pt>
                <c:pt idx="464">
                  <c:v>-22.194796769872084</c:v>
                </c:pt>
                <c:pt idx="465">
                  <c:v>-22.267035295493287</c:v>
                </c:pt>
                <c:pt idx="466">
                  <c:v>-22.33891989821652</c:v>
                </c:pt>
                <c:pt idx="467">
                  <c:v>-22.410454166286534</c:v>
                </c:pt>
                <c:pt idx="468">
                  <c:v>-22.481641628207981</c:v>
                </c:pt>
                <c:pt idx="469">
                  <c:v>-22.554104144367638</c:v>
                </c:pt>
                <c:pt idx="470">
                  <c:v>-22.626211071156771</c:v>
                </c:pt>
                <c:pt idx="471">
                  <c:v>-22.697965999801163</c:v>
                </c:pt>
                <c:pt idx="472">
                  <c:v>-22.769372461887265</c:v>
                </c:pt>
                <c:pt idx="473">
                  <c:v>-22.842126731620361</c:v>
                </c:pt>
                <c:pt idx="474">
                  <c:v>-22.914523000120496</c:v>
                </c:pt>
                <c:pt idx="475">
                  <c:v>-22.986564872539468</c:v>
                </c:pt>
                <c:pt idx="476">
                  <c:v>-23.058255894303347</c:v>
                </c:pt>
                <c:pt idx="477">
                  <c:v>-23.131259426863657</c:v>
                </c:pt>
                <c:pt idx="478">
                  <c:v>-23.203902878107009</c:v>
                </c:pt>
                <c:pt idx="479">
                  <c:v>-23.27618986198032</c:v>
                </c:pt>
                <c:pt idx="480">
                  <c:v>-23.348123932787189</c:v>
                </c:pt>
                <c:pt idx="481">
                  <c:v>-23.421336100047867</c:v>
                </c:pt>
                <c:pt idx="482">
                  <c:v>-23.494186419696593</c:v>
                </c:pt>
                <c:pt idx="483">
                  <c:v>-23.566678509903692</c:v>
                </c:pt>
                <c:pt idx="484">
                  <c:v>-23.638815929433321</c:v>
                </c:pt>
                <c:pt idx="485">
                  <c:v>-23.712247762682978</c:v>
                </c:pt>
                <c:pt idx="486">
                  <c:v>-23.785315786503588</c:v>
                </c:pt>
                <c:pt idx="487">
                  <c:v>-23.858023626599593</c:v>
                </c:pt>
                <c:pt idx="488">
                  <c:v>-23.930374849487002</c:v>
                </c:pt>
                <c:pt idx="489">
                  <c:v>-24.004084093397253</c:v>
                </c:pt>
                <c:pt idx="490">
                  <c:v>-24.077426906211166</c:v>
                </c:pt>
                <c:pt idx="491">
                  <c:v>-24.150406931582292</c:v>
                </c:pt>
                <c:pt idx="492">
                  <c:v>-24.223027754019828</c:v>
                </c:pt>
                <c:pt idx="493">
                  <c:v>-24.29697039562916</c:v>
                </c:pt>
                <c:pt idx="494">
                  <c:v>-24.370544331741606</c:v>
                </c:pt>
                <c:pt idx="495">
                  <c:v>-24.443753219588498</c:v>
                </c:pt>
                <c:pt idx="496">
                  <c:v>-24.516600657445522</c:v>
                </c:pt>
                <c:pt idx="497">
                  <c:v>-24.590781591750307</c:v>
                </c:pt>
                <c:pt idx="498">
                  <c:v>-24.664591410482863</c:v>
                </c:pt>
                <c:pt idx="499">
                  <c:v>-24.73803378751299</c:v>
                </c:pt>
                <c:pt idx="500">
                  <c:v>-24.811112337924186</c:v>
                </c:pt>
                <c:pt idx="501">
                  <c:v>-24.88553461924155</c:v>
                </c:pt>
                <c:pt idx="502">
                  <c:v>-24.95958325919046</c:v>
                </c:pt>
                <c:pt idx="503">
                  <c:v>-25.03326195126343</c:v>
                </c:pt>
                <c:pt idx="504">
                  <c:v>-25.106574330315141</c:v>
                </c:pt>
                <c:pt idx="505">
                  <c:v>-25.181194145958557</c:v>
                </c:pt>
                <c:pt idx="506">
                  <c:v>-25.255438152328015</c:v>
                </c:pt>
                <c:pt idx="507">
                  <c:v>-25.329310058746948</c:v>
                </c:pt>
                <c:pt idx="508">
                  <c:v>-25.402813516165974</c:v>
                </c:pt>
                <c:pt idx="509">
                  <c:v>-25.477633271624317</c:v>
                </c:pt>
                <c:pt idx="510">
                  <c:v>-25.552074950304473</c:v>
                </c:pt>
                <c:pt idx="511">
                  <c:v>-25.626142280551448</c:v>
                </c:pt>
                <c:pt idx="512">
                  <c:v>-25.699838932565761</c:v>
                </c:pt>
                <c:pt idx="513">
                  <c:v>-25.77490279210814</c:v>
                </c:pt>
                <c:pt idx="514">
                  <c:v>-25.849585789877771</c:v>
                </c:pt>
                <c:pt idx="515">
                  <c:v>-25.923891682782717</c:v>
                </c:pt>
                <c:pt idx="516">
                  <c:v>-25.997824169642591</c:v>
                </c:pt>
                <c:pt idx="517">
                  <c:v>-26.073086366790751</c:v>
                </c:pt>
                <c:pt idx="518">
                  <c:v>-26.147965313792302</c:v>
                </c:pt>
                <c:pt idx="519">
                  <c:v>-26.222464792349264</c:v>
                </c:pt>
                <c:pt idx="520">
                  <c:v>-26.296588526228035</c:v>
                </c:pt>
                <c:pt idx="521">
                  <c:v>-26.372047066934165</c:v>
                </c:pt>
                <c:pt idx="522">
                  <c:v>-26.447119931331748</c:v>
                </c:pt>
                <c:pt idx="523">
                  <c:v>-26.521810928724754</c:v>
                </c:pt>
                <c:pt idx="524">
                  <c:v>-26.596123810588278</c:v>
                </c:pt>
                <c:pt idx="525">
                  <c:v>-26.671775448238584</c:v>
                </c:pt>
                <c:pt idx="526">
                  <c:v>-26.747038966091615</c:v>
                </c:pt>
                <c:pt idx="527">
                  <c:v>-26.821918203701177</c:v>
                </c:pt>
                <c:pt idx="528">
                  <c:v>-26.89641694284947</c:v>
                </c:pt>
                <c:pt idx="529">
                  <c:v>-26.972257292797938</c:v>
                </c:pt>
                <c:pt idx="530">
                  <c:v>-27.047707082356844</c:v>
                </c:pt>
                <c:pt idx="531">
                  <c:v>-27.122770183799791</c:v>
                </c:pt>
                <c:pt idx="532">
                  <c:v>-27.197450411633291</c:v>
                </c:pt>
                <c:pt idx="533">
                  <c:v>-27.27351321165353</c:v>
                </c:pt>
                <c:pt idx="534">
                  <c:v>-27.349182629668086</c:v>
                </c:pt>
                <c:pt idx="535">
                  <c:v>-27.424462578952348</c:v>
                </c:pt>
                <c:pt idx="536">
                  <c:v>-27.499356914844952</c:v>
                </c:pt>
                <c:pt idx="537">
                  <c:v>-27.575556751460688</c:v>
                </c:pt>
                <c:pt idx="538">
                  <c:v>-27.65136124247741</c:v>
                </c:pt>
                <c:pt idx="539">
                  <c:v>-27.726774332089427</c:v>
                </c:pt>
                <c:pt idx="540">
                  <c:v>-27.801799906564813</c:v>
                </c:pt>
                <c:pt idx="541">
                  <c:v>-27.878207183926705</c:v>
                </c:pt>
                <c:pt idx="542">
                  <c:v>-27.954216411213267</c:v>
                </c:pt>
                <c:pt idx="543">
                  <c:v>-28.029831577334285</c:v>
                </c:pt>
                <c:pt idx="544">
                  <c:v>-28.105056612988154</c:v>
                </c:pt>
                <c:pt idx="545">
                  <c:v>-28.181624419745205</c:v>
                </c:pt>
                <c:pt idx="546">
                  <c:v>-28.257791956581251</c:v>
                </c:pt>
                <c:pt idx="547">
                  <c:v>-28.333563252635443</c:v>
                </c:pt>
                <c:pt idx="548">
                  <c:v>-28.408942278605267</c:v>
                </c:pt>
                <c:pt idx="549">
                  <c:v>-28.485662273706602</c:v>
                </c:pt>
                <c:pt idx="550">
                  <c:v>-28.561979876365303</c:v>
                </c:pt>
                <c:pt idx="551">
                  <c:v>-28.63789915722835</c:v>
                </c:pt>
                <c:pt idx="552">
                  <c:v>-28.71342412820588</c:v>
                </c:pt>
                <c:pt idx="553">
                  <c:v>-28.790322778397893</c:v>
                </c:pt>
                <c:pt idx="554">
                  <c:v>-28.866816657494432</c:v>
                </c:pt>
                <c:pt idx="555">
                  <c:v>-28.942909884266204</c:v>
                </c:pt>
                <c:pt idx="556">
                  <c:v>-29.018606518278816</c:v>
                </c:pt>
                <c:pt idx="557">
                  <c:v>-29.172331367773022</c:v>
                </c:pt>
                <c:pt idx="558">
                  <c:v>-29.324444831596367</c:v>
                </c:pt>
                <c:pt idx="559">
                  <c:v>-29.47841174125292</c:v>
                </c:pt>
                <c:pt idx="560">
                  <c:v>-29.630760618348848</c:v>
                </c:pt>
                <c:pt idx="561">
                  <c:v>-29.785082442903743</c:v>
                </c:pt>
                <c:pt idx="562">
                  <c:v>-29.937777459403264</c:v>
                </c:pt>
                <c:pt idx="563">
                  <c:v>-30.092104359938165</c:v>
                </c:pt>
                <c:pt idx="564">
                  <c:v>-30.244803296402662</c:v>
                </c:pt>
                <c:pt idx="565">
                  <c:v>-30.399696907866716</c:v>
                </c:pt>
                <c:pt idx="566">
                  <c:v>-30.552949921239524</c:v>
                </c:pt>
                <c:pt idx="567">
                  <c:v>-30.70830557245786</c:v>
                </c:pt>
                <c:pt idx="568">
                  <c:v>-30.86201052950635</c:v>
                </c:pt>
                <c:pt idx="569">
                  <c:v>-31.017125011412951</c:v>
                </c:pt>
                <c:pt idx="570">
                  <c:v>-31.170593961208532</c:v>
                </c:pt>
                <c:pt idx="571">
                  <c:v>-31.326598382337938</c:v>
                </c:pt>
                <c:pt idx="572">
                  <c:v>-31.480938956101319</c:v>
                </c:pt>
                <c:pt idx="573">
                  <c:v>-31.636549976543566</c:v>
                </c:pt>
                <c:pt idx="574">
                  <c:v>-31.790506481050048</c:v>
                </c:pt>
                <c:pt idx="575">
                  <c:v>-31.946816349286003</c:v>
                </c:pt>
                <c:pt idx="576">
                  <c:v>-32.101458398595668</c:v>
                </c:pt>
                <c:pt idx="577">
                  <c:v>-32.738483523584208</c:v>
                </c:pt>
                <c:pt idx="578">
                  <c:v>-33.348784032453231</c:v>
                </c:pt>
                <c:pt idx="579">
                  <c:v>-34.60339748291171</c:v>
                </c:pt>
                <c:pt idx="580">
                  <c:v>-35.868193538436842</c:v>
                </c:pt>
                <c:pt idx="581">
                  <c:v>-37.142699662290113</c:v>
                </c:pt>
                <c:pt idx="582">
                  <c:v>-38.429460403408193</c:v>
                </c:pt>
                <c:pt idx="583">
                  <c:v>-39.729460091059742</c:v>
                </c:pt>
                <c:pt idx="584">
                  <c:v>-41.045633279548127</c:v>
                </c:pt>
                <c:pt idx="585">
                  <c:v>-42.379014651713895</c:v>
                </c:pt>
                <c:pt idx="586">
                  <c:v>-43.731250414653061</c:v>
                </c:pt>
                <c:pt idx="587">
                  <c:v>-45.104091875071298</c:v>
                </c:pt>
                <c:pt idx="588">
                  <c:v>-46.496742027498648</c:v>
                </c:pt>
                <c:pt idx="589">
                  <c:v>-47.91032066325792</c:v>
                </c:pt>
                <c:pt idx="590">
                  <c:v>-49.343834406784943</c:v>
                </c:pt>
                <c:pt idx="591">
                  <c:v>-50.796540909127842</c:v>
                </c:pt>
                <c:pt idx="592">
                  <c:v>-52.267065728007232</c:v>
                </c:pt>
                <c:pt idx="593">
                  <c:v>-53.754459318381663</c:v>
                </c:pt>
                <c:pt idx="594">
                  <c:v>-55.256824167091651</c:v>
                </c:pt>
                <c:pt idx="595">
                  <c:v>-56.772916910528444</c:v>
                </c:pt>
                <c:pt idx="596">
                  <c:v>-58.300905446212248</c:v>
                </c:pt>
                <c:pt idx="597">
                  <c:v>-59.839659816035592</c:v>
                </c:pt>
                <c:pt idx="598">
                  <c:v>-61.387440676153901</c:v>
                </c:pt>
                <c:pt idx="599">
                  <c:v>-62.943399927824998</c:v>
                </c:pt>
                <c:pt idx="600">
                  <c:v>-64.506180967632105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8-48B6-A860-793AEC41F97D}"/>
            </c:ext>
          </c:extLst>
        </c:ser>
        <c:ser>
          <c:idx val="6"/>
          <c:order val="2"/>
          <c:tx>
            <c:v>FZCOMP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 w="19050"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71840147036232E-2"/>
                  <c:y val="-3.79172706856285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</a:t>
                    </a:r>
                    <a:r>
                      <a:rPr lang="en-US" baseline="-25000"/>
                      <a:t>ZCOMP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Calculations'!$C$635</c:f>
              <c:numCache>
                <c:formatCode>0.00</c:formatCode>
                <c:ptCount val="1"/>
                <c:pt idx="0">
                  <c:v>779.14007575148753</c:v>
                </c:pt>
              </c:numCache>
            </c:numRef>
          </c:xVal>
          <c:yVal>
            <c:numRef>
              <c:f>'Stability Calculations'!$D$635</c:f>
              <c:numCache>
                <c:formatCode>0.00</c:formatCode>
                <c:ptCount val="1"/>
                <c:pt idx="0">
                  <c:v>19.363515601528128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8-48B6-A860-793AEC41F97D}"/>
            </c:ext>
          </c:extLst>
        </c:ser>
        <c:ser>
          <c:idx val="8"/>
          <c:order val="3"/>
          <c:tx>
            <c:v>FpEA</c:v>
          </c:tx>
          <c:spPr>
            <a:ln w="28575">
              <a:noFill/>
            </a:ln>
          </c:spPr>
          <c:marker>
            <c:symbol val="x"/>
            <c:size val="8"/>
            <c:spPr>
              <a:noFill/>
              <a:ln w="22225"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9316756823388307E-3"/>
                  <c:y val="-1.59651666044751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00FF"/>
                        </a:solidFill>
                      </a:rPr>
                      <a:t>F</a:t>
                    </a:r>
                    <a:r>
                      <a:rPr lang="en-US" baseline="-25000">
                        <a:solidFill>
                          <a:srgbClr val="0000FF"/>
                        </a:solidFill>
                      </a:rPr>
                      <a:t>PEA</a:t>
                    </a:r>
                    <a:endParaRPr lang="en-US" baseline="-25000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Calculations'!$C$5</c:f>
              <c:numCache>
                <c:formatCode>0.0</c:formatCode>
                <c:ptCount val="1"/>
                <c:pt idx="0">
                  <c:v>0.24106924251452713</c:v>
                </c:pt>
              </c:numCache>
            </c:numRef>
          </c:xVal>
          <c:yVal>
            <c:numRef>
              <c:f>'Stability Calculations'!$Q$624</c:f>
              <c:numCache>
                <c:formatCode>0.00</c:formatCode>
                <c:ptCount val="1"/>
                <c:pt idx="0">
                  <c:v>86.976746101324323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08-48B6-A860-793AEC41F97D}"/>
            </c:ext>
          </c:extLst>
        </c:ser>
        <c:ser>
          <c:idx val="9"/>
          <c:order val="4"/>
          <c:tx>
            <c:v>FpLOAD</c:v>
          </c:tx>
          <c:spPr>
            <a:ln w="28575">
              <a:solidFill>
                <a:schemeClr val="tx1"/>
              </a:solidFill>
            </a:ln>
          </c:spPr>
          <c:marker>
            <c:symbol val="x"/>
            <c:size val="8"/>
            <c:spPr>
              <a:noFill/>
              <a:ln w="22225">
                <a:solidFill>
                  <a:schemeClr val="tx1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tx1"/>
                        </a:solidFill>
                      </a:rPr>
                      <a:t>F</a:t>
                    </a:r>
                    <a:r>
                      <a:rPr lang="en-US" baseline="-25000">
                        <a:solidFill>
                          <a:schemeClr val="tx1"/>
                        </a:solidFill>
                      </a:rPr>
                      <a:t>PLOAD</a:t>
                    </a:r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Calculations'!$K$4</c:f>
              <c:numCache>
                <c:formatCode>0</c:formatCode>
                <c:ptCount val="1"/>
                <c:pt idx="0">
                  <c:v>708.60177529641101</c:v>
                </c:pt>
              </c:numCache>
            </c:numRef>
          </c:xVal>
          <c:yVal>
            <c:numRef>
              <c:f>'Stability Calculations'!$D$632</c:f>
              <c:numCache>
                <c:formatCode>0.00</c:formatCode>
                <c:ptCount val="1"/>
                <c:pt idx="0">
                  <c:v>20.22724741373899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08-48B6-A860-793AEC41F97D}"/>
            </c:ext>
          </c:extLst>
        </c:ser>
        <c:ser>
          <c:idx val="4"/>
          <c:order val="6"/>
          <c:tx>
            <c:v>FZESR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 w="19050"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3.9306499421109475E-2"/>
                  <c:y val="3.9912923770191157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F</a:t>
                    </a:r>
                    <a:r>
                      <a:rPr lang="en-US" b="1" baseline="-25000"/>
                      <a:t>ZESR</a:t>
                    </a:r>
                    <a:endParaRPr lang="en-US" baseline="-25000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Calculations'!$A$623</c:f>
              <c:numCache>
                <c:formatCode>0</c:formatCode>
                <c:ptCount val="1"/>
                <c:pt idx="0">
                  <c:v>132629.11939479699</c:v>
                </c:pt>
              </c:numCache>
            </c:numRef>
          </c:xVal>
          <c:yVal>
            <c:numRef>
              <c:f>'Stability Calculations'!$Q$623</c:f>
              <c:numCache>
                <c:formatCode>0.00</c:formatCode>
                <c:ptCount val="1"/>
                <c:pt idx="0">
                  <c:v>-33.430905274725269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08-48B6-A860-793AEC41F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77280"/>
        <c:axId val="139720192"/>
      </c:scatterChart>
      <c:scatterChart>
        <c:scatterStyle val="lineMarker"/>
        <c:varyColors val="0"/>
        <c:ser>
          <c:idx val="10"/>
          <c:order val="5"/>
          <c:tx>
            <c:v>FPCOMP</c:v>
          </c:tx>
          <c:spPr>
            <a:ln>
              <a:solidFill>
                <a:schemeClr val="tx1"/>
              </a:solidFill>
            </a:ln>
          </c:spPr>
          <c:marker>
            <c:symbol val="x"/>
            <c:size val="8"/>
            <c:spPr>
              <a:noFill/>
              <a:ln w="22225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5.8718924670594424E-3"/>
                  <c:y val="-8.0265817928798291E-3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00FF"/>
                        </a:solidFill>
                        <a:latin typeface="Arial" pitchFamily="34" charset="0"/>
                        <a:cs typeface="Arial" pitchFamily="34" charset="0"/>
                      </a:rPr>
                      <a:t>F</a:t>
                    </a:r>
                    <a:r>
                      <a:rPr lang="en-US" baseline="-25000">
                        <a:solidFill>
                          <a:srgbClr val="0000FF"/>
                        </a:solidFill>
                        <a:latin typeface="Arial" pitchFamily="34" charset="0"/>
                        <a:cs typeface="Arial" pitchFamily="34" charset="0"/>
                      </a:rPr>
                      <a:t>PCOMP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108-48B6-A860-793AEC41F97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Calculations'!$A$627</c:f>
              <c:numCache>
                <c:formatCode>0</c:formatCode>
                <c:ptCount val="1"/>
                <c:pt idx="0">
                  <c:v>25078.005445023155</c:v>
                </c:pt>
              </c:numCache>
            </c:numRef>
          </c:xVal>
          <c:yVal>
            <c:numRef>
              <c:f>'Stability Calculations'!$Q$627</c:f>
              <c:numCache>
                <c:formatCode>0.00</c:formatCode>
                <c:ptCount val="1"/>
                <c:pt idx="0">
                  <c:v>-12.782482919309778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108-48B6-A860-793AEC41F97D}"/>
            </c:ext>
          </c:extLst>
        </c:ser>
        <c:ser>
          <c:idx val="11"/>
          <c:order val="9"/>
          <c:tx>
            <c:v>FzRHP</c:v>
          </c:tx>
          <c:spPr>
            <a:ln>
              <a:solidFill>
                <a:srgbClr val="FF00FF"/>
              </a:solidFill>
            </a:ln>
          </c:spPr>
          <c:marker>
            <c:symbol val="circle"/>
            <c:size val="8"/>
            <c:spPr>
              <a:noFill/>
              <a:ln w="19050">
                <a:solidFill>
                  <a:srgbClr val="FF00FF"/>
                </a:solidFill>
              </a:ln>
            </c:spPr>
          </c:marker>
          <c:dLbls>
            <c:dLbl>
              <c:idx val="0"/>
              <c:layout>
                <c:manualLayout>
                  <c:x val="-2.3423587921912771E-2"/>
                  <c:y val="2.91718636226860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</a:t>
                    </a:r>
                    <a:r>
                      <a:rPr lang="en-US" baseline="-25000"/>
                      <a:t>ZRHP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108-48B6-A860-793AEC41F97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Calculations'!$A$628</c:f>
              <c:numCache>
                <c:formatCode>0</c:formatCode>
                <c:ptCount val="1"/>
                <c:pt idx="0">
                  <c:v>33610.012463615807</c:v>
                </c:pt>
              </c:numCache>
            </c:numRef>
          </c:xVal>
          <c:yVal>
            <c:numRef>
              <c:f>'Stability Calculations'!$D$637</c:f>
              <c:numCache>
                <c:formatCode>0.00</c:formatCode>
                <c:ptCount val="1"/>
                <c:pt idx="0">
                  <c:v>-16.050077656113327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08-48B6-A860-793AEC41F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77280"/>
        <c:axId val="139720192"/>
      </c:scatterChart>
      <c:scatterChart>
        <c:scatterStyle val="lineMarker"/>
        <c:varyColors val="0"/>
        <c:ser>
          <c:idx val="3"/>
          <c:order val="1"/>
          <c:tx>
            <c:v>Loop Phase</c:v>
          </c:tx>
          <c:spPr>
            <a:ln w="34925">
              <a:solidFill>
                <a:srgbClr val="002060"/>
              </a:solidFill>
              <a:prstDash val="sysDash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Calculations'!$R$13:$R$613</c:f>
              <c:numCache>
                <c:formatCode>0.00</c:formatCode>
                <c:ptCount val="601"/>
                <c:pt idx="0">
                  <c:v>-76.458362923019664</c:v>
                </c:pt>
                <c:pt idx="1">
                  <c:v>-77.613761509870542</c:v>
                </c:pt>
                <c:pt idx="2">
                  <c:v>-78.676591358659394</c:v>
                </c:pt>
                <c:pt idx="3">
                  <c:v>-79.653007197456461</c:v>
                </c:pt>
                <c:pt idx="4">
                  <c:v>-80.548507691620856</c:v>
                </c:pt>
                <c:pt idx="5">
                  <c:v>-81.370419417400342</c:v>
                </c:pt>
                <c:pt idx="6">
                  <c:v>-82.123146915236006</c:v>
                </c:pt>
                <c:pt idx="7">
                  <c:v>-82.812564952678656</c:v>
                </c:pt>
                <c:pt idx="8">
                  <c:v>-83.44324860376264</c:v>
                </c:pt>
                <c:pt idx="9">
                  <c:v>-84.020436956284399</c:v>
                </c:pt>
                <c:pt idx="10">
                  <c:v>-84.548227247824059</c:v>
                </c:pt>
                <c:pt idx="11">
                  <c:v>-85.030844891517972</c:v>
                </c:pt>
                <c:pt idx="12">
                  <c:v>-85.472350059912145</c:v>
                </c:pt>
                <c:pt idx="13">
                  <c:v>-85.875862651315288</c:v>
                </c:pt>
                <c:pt idx="14">
                  <c:v>-86.244986350775491</c:v>
                </c:pt>
                <c:pt idx="15">
                  <c:v>-86.582582073653825</c:v>
                </c:pt>
                <c:pt idx="16">
                  <c:v>-86.891456174094301</c:v>
                </c:pt>
                <c:pt idx="17">
                  <c:v>-87.174123141194016</c:v>
                </c:pt>
                <c:pt idx="18">
                  <c:v>-87.433011819739662</c:v>
                </c:pt>
                <c:pt idx="19">
                  <c:v>-87.670208703004349</c:v>
                </c:pt>
                <c:pt idx="20">
                  <c:v>-87.887745389530949</c:v>
                </c:pt>
                <c:pt idx="21">
                  <c:v>-88.08740168542046</c:v>
                </c:pt>
                <c:pt idx="22">
                  <c:v>-88.270898147009802</c:v>
                </c:pt>
                <c:pt idx="23">
                  <c:v>-88.439734465462706</c:v>
                </c:pt>
                <c:pt idx="24">
                  <c:v>-88.595377471493563</c:v>
                </c:pt>
                <c:pt idx="25">
                  <c:v>-88.739114997365277</c:v>
                </c:pt>
                <c:pt idx="26">
                  <c:v>-88.87219234413476</c:v>
                </c:pt>
                <c:pt idx="27">
                  <c:v>-88.99569104950416</c:v>
                </c:pt>
                <c:pt idx="28">
                  <c:v>-89.110663490985146</c:v>
                </c:pt>
                <c:pt idx="29">
                  <c:v>-89.218019936545005</c:v>
                </c:pt>
                <c:pt idx="30">
                  <c:v>-89.31884793846811</c:v>
                </c:pt>
                <c:pt idx="31">
                  <c:v>-89.413853899228926</c:v>
                </c:pt>
                <c:pt idx="32">
                  <c:v>-89.50390793716538</c:v>
                </c:pt>
                <c:pt idx="33">
                  <c:v>-89.589708734935513</c:v>
                </c:pt>
                <c:pt idx="34">
                  <c:v>-89.672048940847688</c:v>
                </c:pt>
                <c:pt idx="35">
                  <c:v>-89.751577179905723</c:v>
                </c:pt>
                <c:pt idx="36">
                  <c:v>-89.828977839328743</c:v>
                </c:pt>
                <c:pt idx="37">
                  <c:v>-89.904943736077172</c:v>
                </c:pt>
                <c:pt idx="38">
                  <c:v>-89.980040735953239</c:v>
                </c:pt>
                <c:pt idx="39">
                  <c:v>-90.054958985406657</c:v>
                </c:pt>
                <c:pt idx="40">
                  <c:v>-90.130295297616044</c:v>
                </c:pt>
                <c:pt idx="41">
                  <c:v>-90.20668174053182</c:v>
                </c:pt>
                <c:pt idx="42">
                  <c:v>-90.284737734845365</c:v>
                </c:pt>
                <c:pt idx="43">
                  <c:v>-90.365125244414799</c:v>
                </c:pt>
                <c:pt idx="44">
                  <c:v>-90.448474331885805</c:v>
                </c:pt>
                <c:pt idx="45">
                  <c:v>-90.53546870983881</c:v>
                </c:pt>
                <c:pt idx="46">
                  <c:v>-90.626775885469129</c:v>
                </c:pt>
                <c:pt idx="47">
                  <c:v>-90.72312102786664</c:v>
                </c:pt>
                <c:pt idx="48">
                  <c:v>-90.825206843876373</c:v>
                </c:pt>
                <c:pt idx="49">
                  <c:v>-90.933807027997148</c:v>
                </c:pt>
                <c:pt idx="50">
                  <c:v>-91.04967260130978</c:v>
                </c:pt>
                <c:pt idx="51">
                  <c:v>-91.173614860059132</c:v>
                </c:pt>
                <c:pt idx="52">
                  <c:v>-91.306386404761767</c:v>
                </c:pt>
                <c:pt idx="53">
                  <c:v>-91.44877948608908</c:v>
                </c:pt>
                <c:pt idx="54">
                  <c:v>-91.601467965057495</c:v>
                </c:pt>
                <c:pt idx="55">
                  <c:v>-91.765455465356226</c:v>
                </c:pt>
                <c:pt idx="56">
                  <c:v>-91.941205935153832</c:v>
                </c:pt>
                <c:pt idx="57">
                  <c:v>-92.129432791005428</c:v>
                </c:pt>
                <c:pt idx="58">
                  <c:v>-92.33047259601851</c:v>
                </c:pt>
                <c:pt idx="59">
                  <c:v>-92.544789588760011</c:v>
                </c:pt>
                <c:pt idx="60">
                  <c:v>-92.772370393829846</c:v>
                </c:pt>
                <c:pt idx="61">
                  <c:v>-93.013100085747197</c:v>
                </c:pt>
                <c:pt idx="62">
                  <c:v>-93.266685930146608</c:v>
                </c:pt>
                <c:pt idx="63">
                  <c:v>-93.532146247997204</c:v>
                </c:pt>
                <c:pt idx="64">
                  <c:v>-93.808640930455908</c:v>
                </c:pt>
                <c:pt idx="65">
                  <c:v>-94.09474051772834</c:v>
                </c:pt>
                <c:pt idx="66">
                  <c:v>-94.388938215038934</c:v>
                </c:pt>
                <c:pt idx="67">
                  <c:v>-94.689587617783062</c:v>
                </c:pt>
                <c:pt idx="68">
                  <c:v>-94.995277345741926</c:v>
                </c:pt>
                <c:pt idx="69">
                  <c:v>-95.304753465678886</c:v>
                </c:pt>
                <c:pt idx="70">
                  <c:v>-95.617478392013552</c:v>
                </c:pt>
                <c:pt idx="71">
                  <c:v>-95.933604463373413</c:v>
                </c:pt>
                <c:pt idx="72">
                  <c:v>-96.254435811972044</c:v>
                </c:pt>
                <c:pt idx="73">
                  <c:v>-96.582286172751495</c:v>
                </c:pt>
                <c:pt idx="74">
                  <c:v>-96.920837669035635</c:v>
                </c:pt>
                <c:pt idx="75">
                  <c:v>-97.274797980848987</c:v>
                </c:pt>
                <c:pt idx="76">
                  <c:v>-97.650047984934645</c:v>
                </c:pt>
                <c:pt idx="77">
                  <c:v>-98.053118120604154</c:v>
                </c:pt>
                <c:pt idx="78">
                  <c:v>-98.491312342695721</c:v>
                </c:pt>
                <c:pt idx="79">
                  <c:v>-98.97206122767615</c:v>
                </c:pt>
                <c:pt idx="80">
                  <c:v>-99.504250262329492</c:v>
                </c:pt>
                <c:pt idx="81">
                  <c:v>-100.0954254509131</c:v>
                </c:pt>
                <c:pt idx="82">
                  <c:v>-100.75436223958479</c:v>
                </c:pt>
                <c:pt idx="83">
                  <c:v>-101.48908519044974</c:v>
                </c:pt>
                <c:pt idx="84">
                  <c:v>-102.3088261847371</c:v>
                </c:pt>
                <c:pt idx="85">
                  <c:v>-103.22203653937405</c:v>
                </c:pt>
                <c:pt idx="86">
                  <c:v>-104.23801318371487</c:v>
                </c:pt>
                <c:pt idx="87">
                  <c:v>-105.36695684446443</c:v>
                </c:pt>
                <c:pt idx="88">
                  <c:v>-106.6178466993443</c:v>
                </c:pt>
                <c:pt idx="89">
                  <c:v>-108.00226515858093</c:v>
                </c:pt>
                <c:pt idx="90">
                  <c:v>-109.53094985074179</c:v>
                </c:pt>
                <c:pt idx="91">
                  <c:v>-111.2158792697583</c:v>
                </c:pt>
                <c:pt idx="92">
                  <c:v>-113.06930987596225</c:v>
                </c:pt>
                <c:pt idx="93">
                  <c:v>-115.10495368972566</c:v>
                </c:pt>
                <c:pt idx="94">
                  <c:v>-115.6436667857153</c:v>
                </c:pt>
                <c:pt idx="95">
                  <c:v>-115.91937946833387</c:v>
                </c:pt>
                <c:pt idx="96">
                  <c:v>-116.19505737027653</c:v>
                </c:pt>
                <c:pt idx="97">
                  <c:v>-116.47708203852133</c:v>
                </c:pt>
                <c:pt idx="98">
                  <c:v>-116.75905460540125</c:v>
                </c:pt>
                <c:pt idx="99">
                  <c:v>-117.04757406075004</c:v>
                </c:pt>
                <c:pt idx="100">
                  <c:v>-117.33602315545431</c:v>
                </c:pt>
                <c:pt idx="101">
                  <c:v>-117.63099721578696</c:v>
                </c:pt>
                <c:pt idx="102">
                  <c:v>-117.92588177755329</c:v>
                </c:pt>
                <c:pt idx="103">
                  <c:v>-118.2277076249574</c:v>
                </c:pt>
                <c:pt idx="104">
                  <c:v>-118.52942363536687</c:v>
                </c:pt>
                <c:pt idx="105">
                  <c:v>-118.83805497331926</c:v>
                </c:pt>
                <c:pt idx="106">
                  <c:v>-119.14655514683199</c:v>
                </c:pt>
                <c:pt idx="107">
                  <c:v>-119.46194284947832</c:v>
                </c:pt>
                <c:pt idx="108">
                  <c:v>-119.77717707914984</c:v>
                </c:pt>
                <c:pt idx="109">
                  <c:v>-120.09948855067266</c:v>
                </c:pt>
                <c:pt idx="110">
                  <c:v>-120.42162302050126</c:v>
                </c:pt>
                <c:pt idx="111">
                  <c:v>-120.75124092281749</c:v>
                </c:pt>
                <c:pt idx="112">
                  <c:v>-121.08065671439248</c:v>
                </c:pt>
                <c:pt idx="113">
                  <c:v>-121.41752084203253</c:v>
                </c:pt>
                <c:pt idx="114">
                  <c:v>-121.75415659149201</c:v>
                </c:pt>
                <c:pt idx="115">
                  <c:v>-122.09842194513547</c:v>
                </c:pt>
                <c:pt idx="116">
                  <c:v>-122.44243117013536</c:v>
                </c:pt>
                <c:pt idx="117">
                  <c:v>-122.79424809266222</c:v>
                </c:pt>
                <c:pt idx="118">
                  <c:v>-123.14577956253423</c:v>
                </c:pt>
                <c:pt idx="119">
                  <c:v>-123.50507566211294</c:v>
                </c:pt>
                <c:pt idx="120">
                  <c:v>-123.86405570816081</c:v>
                </c:pt>
                <c:pt idx="121">
                  <c:v>-124.23097235714606</c:v>
                </c:pt>
                <c:pt idx="122">
                  <c:v>-124.59754066276676</c:v>
                </c:pt>
                <c:pt idx="123">
                  <c:v>-124.97243085208164</c:v>
                </c:pt>
                <c:pt idx="124">
                  <c:v>-125.34693817785428</c:v>
                </c:pt>
                <c:pt idx="125">
                  <c:v>-125.72971439572551</c:v>
                </c:pt>
                <c:pt idx="126">
                  <c:v>-126.11207176149455</c:v>
                </c:pt>
                <c:pt idx="127">
                  <c:v>-126.50285835276162</c:v>
                </c:pt>
                <c:pt idx="128">
                  <c:v>-126.89318813236413</c:v>
                </c:pt>
                <c:pt idx="129">
                  <c:v>-127.29210319184699</c:v>
                </c:pt>
                <c:pt idx="130">
                  <c:v>-127.69052141399119</c:v>
                </c:pt>
                <c:pt idx="131">
                  <c:v>-128.09767647840496</c:v>
                </c:pt>
                <c:pt idx="132">
                  <c:v>-128.30105245343725</c:v>
                </c:pt>
                <c:pt idx="133">
                  <c:v>-128.50429251842513</c:v>
                </c:pt>
                <c:pt idx="134">
                  <c:v>-128.71222198453893</c:v>
                </c:pt>
                <c:pt idx="135">
                  <c:v>-128.92000661227607</c:v>
                </c:pt>
                <c:pt idx="136">
                  <c:v>-129.1276452171542</c:v>
                </c:pt>
                <c:pt idx="137">
                  <c:v>-129.33513663075519</c:v>
                </c:pt>
                <c:pt idx="138">
                  <c:v>-129.5471854486685</c:v>
                </c:pt>
                <c:pt idx="139">
                  <c:v>-129.75907789407586</c:v>
                </c:pt>
                <c:pt idx="140">
                  <c:v>-129.97081276736552</c:v>
                </c:pt>
                <c:pt idx="141">
                  <c:v>-130.18238888523143</c:v>
                </c:pt>
                <c:pt idx="142">
                  <c:v>-130.39881653099258</c:v>
                </c:pt>
                <c:pt idx="143">
                  <c:v>-130.61507534428381</c:v>
                </c:pt>
                <c:pt idx="144">
                  <c:v>-130.8311641068029</c:v>
                </c:pt>
                <c:pt idx="145">
                  <c:v>-131.04708161690027</c:v>
                </c:pt>
                <c:pt idx="146">
                  <c:v>-131.26782218126502</c:v>
                </c:pt>
                <c:pt idx="147">
                  <c:v>-131.48838097455362</c:v>
                </c:pt>
                <c:pt idx="148">
                  <c:v>-131.70875676190528</c:v>
                </c:pt>
                <c:pt idx="149">
                  <c:v>-131.92894832546659</c:v>
                </c:pt>
                <c:pt idx="150">
                  <c:v>-132.15403910855105</c:v>
                </c:pt>
                <c:pt idx="151">
                  <c:v>-132.37893452449308</c:v>
                </c:pt>
                <c:pt idx="152">
                  <c:v>-132.60363332240323</c:v>
                </c:pt>
                <c:pt idx="153">
                  <c:v>-132.82813426879753</c:v>
                </c:pt>
                <c:pt idx="154">
                  <c:v>-133.05771391534182</c:v>
                </c:pt>
                <c:pt idx="155">
                  <c:v>-133.287083725407</c:v>
                </c:pt>
                <c:pt idx="156">
                  <c:v>-133.51624243112767</c:v>
                </c:pt>
                <c:pt idx="157">
                  <c:v>-133.74518878251962</c:v>
                </c:pt>
                <c:pt idx="158">
                  <c:v>-133.9792848293028</c:v>
                </c:pt>
                <c:pt idx="159">
                  <c:v>-134.21315584841557</c:v>
                </c:pt>
                <c:pt idx="160">
                  <c:v>-134.44680055616178</c:v>
                </c:pt>
                <c:pt idx="161">
                  <c:v>-134.68021768724881</c:v>
                </c:pt>
                <c:pt idx="162">
                  <c:v>-134.91874829257759</c:v>
                </c:pt>
                <c:pt idx="163">
                  <c:v>-135.15703814841862</c:v>
                </c:pt>
                <c:pt idx="164">
                  <c:v>-135.39508595840195</c:v>
                </c:pt>
                <c:pt idx="165">
                  <c:v>-135.63289044509909</c:v>
                </c:pt>
                <c:pt idx="166">
                  <c:v>-135.87608367629699</c:v>
                </c:pt>
                <c:pt idx="167">
                  <c:v>-136.1190192514515</c:v>
                </c:pt>
                <c:pt idx="168">
                  <c:v>-136.36169585989384</c:v>
                </c:pt>
                <c:pt idx="169">
                  <c:v>-136.60411221055134</c:v>
                </c:pt>
                <c:pt idx="170">
                  <c:v>-136.85146061143863</c:v>
                </c:pt>
                <c:pt idx="171">
                  <c:v>-137.09853480307316</c:v>
                </c:pt>
                <c:pt idx="172">
                  <c:v>-137.34533347097855</c:v>
                </c:pt>
                <c:pt idx="173">
                  <c:v>-137.59185532081241</c:v>
                </c:pt>
                <c:pt idx="174">
                  <c:v>-137.84430329917009</c:v>
                </c:pt>
                <c:pt idx="175">
                  <c:v>-138.09645763486517</c:v>
                </c:pt>
                <c:pt idx="176">
                  <c:v>-138.34831699724947</c:v>
                </c:pt>
                <c:pt idx="177">
                  <c:v>-138.59988007670492</c:v>
                </c:pt>
                <c:pt idx="178">
                  <c:v>-138.85732048491926</c:v>
                </c:pt>
                <c:pt idx="179">
                  <c:v>-139.11444714277343</c:v>
                </c:pt>
                <c:pt idx="180">
                  <c:v>-139.37125870848118</c:v>
                </c:pt>
                <c:pt idx="181">
                  <c:v>-139.62775386220432</c:v>
                </c:pt>
                <c:pt idx="182">
                  <c:v>-139.88905160518459</c:v>
                </c:pt>
                <c:pt idx="183">
                  <c:v>-140.15001744784968</c:v>
                </c:pt>
                <c:pt idx="184">
                  <c:v>-140.41065005829637</c:v>
                </c:pt>
                <c:pt idx="185">
                  <c:v>-140.67094812715507</c:v>
                </c:pt>
                <c:pt idx="186">
                  <c:v>-140.93804183760179</c:v>
                </c:pt>
                <c:pt idx="187">
                  <c:v>-141.20477965680249</c:v>
                </c:pt>
                <c:pt idx="188">
                  <c:v>-141.4711602369959</c:v>
                </c:pt>
                <c:pt idx="189">
                  <c:v>-141.73718225427012</c:v>
                </c:pt>
                <c:pt idx="190">
                  <c:v>-142.00791078896077</c:v>
                </c:pt>
                <c:pt idx="191">
                  <c:v>-142.27826424274704</c:v>
                </c:pt>
                <c:pt idx="192">
                  <c:v>-142.54824128899722</c:v>
                </c:pt>
                <c:pt idx="193">
                  <c:v>-142.81784062553749</c:v>
                </c:pt>
                <c:pt idx="194">
                  <c:v>-143.09411407604469</c:v>
                </c:pt>
                <c:pt idx="195">
                  <c:v>-143.36998705135619</c:v>
                </c:pt>
                <c:pt idx="196">
                  <c:v>-143.64545822254007</c:v>
                </c:pt>
                <c:pt idx="197">
                  <c:v>-143.92052628648179</c:v>
                </c:pt>
                <c:pt idx="198">
                  <c:v>-144.20119996467426</c:v>
                </c:pt>
                <c:pt idx="199">
                  <c:v>-144.48145001770621</c:v>
                </c:pt>
                <c:pt idx="200">
                  <c:v>-144.76127513651014</c:v>
                </c:pt>
                <c:pt idx="201">
                  <c:v>-145.04067403883457</c:v>
                </c:pt>
                <c:pt idx="202">
                  <c:v>-145.32561874082208</c:v>
                </c:pt>
                <c:pt idx="203">
                  <c:v>-145.61011614411646</c:v>
                </c:pt>
                <c:pt idx="204">
                  <c:v>-145.89416496684427</c:v>
                </c:pt>
                <c:pt idx="205">
                  <c:v>-146.17776395495176</c:v>
                </c:pt>
                <c:pt idx="206">
                  <c:v>-146.46783641060466</c:v>
                </c:pt>
                <c:pt idx="207">
                  <c:v>-146.75743416578237</c:v>
                </c:pt>
                <c:pt idx="208">
                  <c:v>-147.04655596077066</c:v>
                </c:pt>
                <c:pt idx="209">
                  <c:v>-147.3352005650728</c:v>
                </c:pt>
                <c:pt idx="210">
                  <c:v>-147.63122807604896</c:v>
                </c:pt>
                <c:pt idx="211">
                  <c:v>-147.92674944299273</c:v>
                </c:pt>
                <c:pt idx="212">
                  <c:v>-148.22176342589395</c:v>
                </c:pt>
                <c:pt idx="213">
                  <c:v>-148.51626881576786</c:v>
                </c:pt>
                <c:pt idx="214">
                  <c:v>-148.81611962210187</c:v>
                </c:pt>
                <c:pt idx="215">
                  <c:v>-149.1154389137767</c:v>
                </c:pt>
                <c:pt idx="216">
                  <c:v>-149.41422550544067</c:v>
                </c:pt>
                <c:pt idx="217">
                  <c:v>-149.71247824374899</c:v>
                </c:pt>
                <c:pt idx="218">
                  <c:v>-150.01697811312744</c:v>
                </c:pt>
                <c:pt idx="219">
                  <c:v>-150.32091716677388</c:v>
                </c:pt>
                <c:pt idx="220">
                  <c:v>-150.62429427208539</c:v>
                </c:pt>
                <c:pt idx="221">
                  <c:v>-150.92710832984395</c:v>
                </c:pt>
                <c:pt idx="222">
                  <c:v>-151.2360898938239</c:v>
                </c:pt>
                <c:pt idx="223">
                  <c:v>-151.54448080828539</c:v>
                </c:pt>
                <c:pt idx="224">
                  <c:v>-151.85228000445292</c:v>
                </c:pt>
                <c:pt idx="225">
                  <c:v>-152.15948644828714</c:v>
                </c:pt>
                <c:pt idx="226">
                  <c:v>-152.4737329862962</c:v>
                </c:pt>
                <c:pt idx="227">
                  <c:v>-152.78735476909313</c:v>
                </c:pt>
                <c:pt idx="228">
                  <c:v>-153.10035079422275</c:v>
                </c:pt>
                <c:pt idx="229">
                  <c:v>-153.41272009571802</c:v>
                </c:pt>
                <c:pt idx="230">
                  <c:v>-154.05068892181438</c:v>
                </c:pt>
                <c:pt idx="231">
                  <c:v>-154.36868314869011</c:v>
                </c:pt>
                <c:pt idx="232">
                  <c:v>-154.68601606027667</c:v>
                </c:pt>
                <c:pt idx="233">
                  <c:v>-155.01019616422991</c:v>
                </c:pt>
                <c:pt idx="234">
                  <c:v>-155.33368142846447</c:v>
                </c:pt>
                <c:pt idx="235">
                  <c:v>-155.65647102596432</c:v>
                </c:pt>
                <c:pt idx="236">
                  <c:v>-155.97856416956509</c:v>
                </c:pt>
                <c:pt idx="237">
                  <c:v>-156.30647396693868</c:v>
                </c:pt>
                <c:pt idx="238">
                  <c:v>-156.63365723082518</c:v>
                </c:pt>
                <c:pt idx="239">
                  <c:v>-156.96011325011011</c:v>
                </c:pt>
                <c:pt idx="240">
                  <c:v>-157.28584135464308</c:v>
                </c:pt>
                <c:pt idx="241">
                  <c:v>-157.61914100531368</c:v>
                </c:pt>
                <c:pt idx="242">
                  <c:v>-157.95167374457696</c:v>
                </c:pt>
                <c:pt idx="243">
                  <c:v>-158.28343898023053</c:v>
                </c:pt>
                <c:pt idx="244">
                  <c:v>-158.61443616299024</c:v>
                </c:pt>
                <c:pt idx="245">
                  <c:v>-158.95197416348077</c:v>
                </c:pt>
                <c:pt idx="246">
                  <c:v>-159.28870866691008</c:v>
                </c:pt>
                <c:pt idx="247">
                  <c:v>-159.62463922186006</c:v>
                </c:pt>
                <c:pt idx="248">
                  <c:v>-159.9597654212009</c:v>
                </c:pt>
                <c:pt idx="249">
                  <c:v>-160.30223102811334</c:v>
                </c:pt>
                <c:pt idx="250">
                  <c:v>-160.64385183892523</c:v>
                </c:pt>
                <c:pt idx="251">
                  <c:v>-160.98462755642973</c:v>
                </c:pt>
                <c:pt idx="252">
                  <c:v>-161.32455792942807</c:v>
                </c:pt>
                <c:pt idx="253">
                  <c:v>-161.6708100121692</c:v>
                </c:pt>
                <c:pt idx="254">
                  <c:v>-162.01618020429959</c:v>
                </c:pt>
                <c:pt idx="255">
                  <c:v>-162.36066838246634</c:v>
                </c:pt>
                <c:pt idx="256">
                  <c:v>-162.70427447040555</c:v>
                </c:pt>
                <c:pt idx="257">
                  <c:v>-163.05586557508468</c:v>
                </c:pt>
                <c:pt idx="258">
                  <c:v>-163.406528279741</c:v>
                </c:pt>
                <c:pt idx="259">
                  <c:v>-163.75626265178198</c:v>
                </c:pt>
                <c:pt idx="260">
                  <c:v>-164.10506880758774</c:v>
                </c:pt>
                <c:pt idx="261">
                  <c:v>-164.46084244812127</c:v>
                </c:pt>
                <c:pt idx="262">
                  <c:v>-164.81564560097402</c:v>
                </c:pt>
                <c:pt idx="263">
                  <c:v>-165.16947854448529</c:v>
                </c:pt>
                <c:pt idx="264">
                  <c:v>-165.52234160715486</c:v>
                </c:pt>
                <c:pt idx="265">
                  <c:v>-165.88204401521838</c:v>
                </c:pt>
                <c:pt idx="266">
                  <c:v>-166.24073380859085</c:v>
                </c:pt>
                <c:pt idx="267">
                  <c:v>-166.59841149523209</c:v>
                </c:pt>
                <c:pt idx="268">
                  <c:v>-166.9550776342233</c:v>
                </c:pt>
                <c:pt idx="269">
                  <c:v>-167.3193110412854</c:v>
                </c:pt>
                <c:pt idx="270">
                  <c:v>-167.68248479095445</c:v>
                </c:pt>
                <c:pt idx="271">
                  <c:v>-168.04459964469254</c:v>
                </c:pt>
                <c:pt idx="272">
                  <c:v>-168.40565641628407</c:v>
                </c:pt>
                <c:pt idx="273">
                  <c:v>-168.77413377254058</c:v>
                </c:pt>
                <c:pt idx="274">
                  <c:v>-169.14150443769589</c:v>
                </c:pt>
                <c:pt idx="275">
                  <c:v>-169.50776944852066</c:v>
                </c:pt>
                <c:pt idx="276">
                  <c:v>-169.8729298950183</c:v>
                </c:pt>
                <c:pt idx="277">
                  <c:v>-170.24452481917487</c:v>
                </c:pt>
                <c:pt idx="278">
                  <c:v>-170.61497135256886</c:v>
                </c:pt>
                <c:pt idx="279">
                  <c:v>-170.98427081938573</c:v>
                </c:pt>
                <c:pt idx="280">
                  <c:v>-171.35242459716011</c:v>
                </c:pt>
                <c:pt idx="281">
                  <c:v>-171.7293597789139</c:v>
                </c:pt>
                <c:pt idx="282">
                  <c:v>-172.1050894759509</c:v>
                </c:pt>
                <c:pt idx="283">
                  <c:v>-172.47961534939455</c:v>
                </c:pt>
                <c:pt idx="284">
                  <c:v>-172.85293911493275</c:v>
                </c:pt>
                <c:pt idx="285">
                  <c:v>-173.23241113078387</c:v>
                </c:pt>
                <c:pt idx="286">
                  <c:v>-173.61063678447641</c:v>
                </c:pt>
                <c:pt idx="287">
                  <c:v>-173.98761806329208</c:v>
                </c:pt>
                <c:pt idx="288">
                  <c:v>-174.36335700848338</c:v>
                </c:pt>
                <c:pt idx="289">
                  <c:v>-174.74752459215736</c:v>
                </c:pt>
                <c:pt idx="290">
                  <c:v>-175.13038927361325</c:v>
                </c:pt>
                <c:pt idx="291">
                  <c:v>-175.51195342559532</c:v>
                </c:pt>
                <c:pt idx="292">
                  <c:v>-175.89221947522313</c:v>
                </c:pt>
                <c:pt idx="293">
                  <c:v>-176.27993232634117</c:v>
                </c:pt>
                <c:pt idx="294">
                  <c:v>-176.66629169406386</c:v>
                </c:pt>
                <c:pt idx="295">
                  <c:v>-177.05130034584647</c:v>
                </c:pt>
                <c:pt idx="296">
                  <c:v>-177.43496110300765</c:v>
                </c:pt>
                <c:pt idx="297">
                  <c:v>-177.82589679711481</c:v>
                </c:pt>
                <c:pt idx="298">
                  <c:v>-178.21542915189119</c:v>
                </c:pt>
                <c:pt idx="299">
                  <c:v>-178.60356134990778</c:v>
                </c:pt>
                <c:pt idx="300">
                  <c:v>-178.99029662662281</c:v>
                </c:pt>
                <c:pt idx="301">
                  <c:v>-179.38413412508072</c:v>
                </c:pt>
                <c:pt idx="302">
                  <c:v>-179.77651930667815</c:v>
                </c:pt>
                <c:pt idx="303">
                  <c:v>-180.16745578788451</c:v>
                </c:pt>
                <c:pt idx="304">
                  <c:v>-180.55694723660059</c:v>
                </c:pt>
                <c:pt idx="305">
                  <c:v>-180.95488943511683</c:v>
                </c:pt>
                <c:pt idx="306">
                  <c:v>-181.35131981871865</c:v>
                </c:pt>
                <c:pt idx="307">
                  <c:v>-181.7462425021582</c:v>
                </c:pt>
                <c:pt idx="308">
                  <c:v>-182.13966165042822</c:v>
                </c:pt>
                <c:pt idx="309">
                  <c:v>-182.53982422452808</c:v>
                </c:pt>
                <c:pt idx="310">
                  <c:v>-182.93842815791547</c:v>
                </c:pt>
                <c:pt idx="311">
                  <c:v>-183.33547803625734</c:v>
                </c:pt>
                <c:pt idx="312">
                  <c:v>-183.73097849294618</c:v>
                </c:pt>
                <c:pt idx="313">
                  <c:v>-184.1345236253444</c:v>
                </c:pt>
                <c:pt idx="314">
                  <c:v>-184.5364528221215</c:v>
                </c:pt>
                <c:pt idx="315">
                  <c:v>-184.93677120900986</c:v>
                </c:pt>
                <c:pt idx="316">
                  <c:v>-185.3354839571025</c:v>
                </c:pt>
                <c:pt idx="317">
                  <c:v>-185.74203187329101</c:v>
                </c:pt>
                <c:pt idx="318">
                  <c:v>-186.14690788929101</c:v>
                </c:pt>
                <c:pt idx="319">
                  <c:v>-186.55011769094688</c:v>
                </c:pt>
                <c:pt idx="320">
                  <c:v>-186.95166700646297</c:v>
                </c:pt>
                <c:pt idx="321">
                  <c:v>-187.36084183714885</c:v>
                </c:pt>
                <c:pt idx="322">
                  <c:v>-187.76829031480756</c:v>
                </c:pt>
                <c:pt idx="323">
                  <c:v>-188.17401870275933</c:v>
                </c:pt>
                <c:pt idx="324">
                  <c:v>-188.57803330304483</c:v>
                </c:pt>
                <c:pt idx="325">
                  <c:v>-188.98946400501063</c:v>
                </c:pt>
                <c:pt idx="326">
                  <c:v>-189.3991155840304</c:v>
                </c:pt>
                <c:pt idx="327">
                  <c:v>-189.80699489540734</c:v>
                </c:pt>
                <c:pt idx="328">
                  <c:v>-190.21310882889344</c:v>
                </c:pt>
                <c:pt idx="329">
                  <c:v>-190.6271197025425</c:v>
                </c:pt>
                <c:pt idx="330">
                  <c:v>-191.03929441286789</c:v>
                </c:pt>
                <c:pt idx="331">
                  <c:v>-191.44964045622933</c:v>
                </c:pt>
                <c:pt idx="332">
                  <c:v>-191.85816535873761</c:v>
                </c:pt>
                <c:pt idx="333">
                  <c:v>-192.27368341362592</c:v>
                </c:pt>
                <c:pt idx="334">
                  <c:v>-192.68731639193814</c:v>
                </c:pt>
                <c:pt idx="335">
                  <c:v>-193.09907240432349</c:v>
                </c:pt>
                <c:pt idx="336">
                  <c:v>-193.50895958564385</c:v>
                </c:pt>
                <c:pt idx="337">
                  <c:v>-193.92696345070624</c:v>
                </c:pt>
                <c:pt idx="338">
                  <c:v>-194.34302310853695</c:v>
                </c:pt>
                <c:pt idx="339">
                  <c:v>-194.75714737338015</c:v>
                </c:pt>
                <c:pt idx="340">
                  <c:v>-195.16934507780789</c:v>
                </c:pt>
                <c:pt idx="341">
                  <c:v>-195.58941696687549</c:v>
                </c:pt>
                <c:pt idx="342">
                  <c:v>-196.00748780539828</c:v>
                </c:pt>
                <c:pt idx="343">
                  <c:v>-196.42356712211645</c:v>
                </c:pt>
                <c:pt idx="344">
                  <c:v>-196.83766445748404</c:v>
                </c:pt>
                <c:pt idx="345">
                  <c:v>-197.25875460563549</c:v>
                </c:pt>
                <c:pt idx="346">
                  <c:v>-197.67779555671106</c:v>
                </c:pt>
                <c:pt idx="347">
                  <c:v>-198.09479751418954</c:v>
                </c:pt>
                <c:pt idx="348">
                  <c:v>-198.50977068593454</c:v>
                </c:pt>
                <c:pt idx="349">
                  <c:v>-198.93277221444765</c:v>
                </c:pt>
                <c:pt idx="350">
                  <c:v>-199.35366647587784</c:v>
                </c:pt>
                <c:pt idx="351">
                  <c:v>-199.77246444498442</c:v>
                </c:pt>
                <c:pt idx="352">
                  <c:v>-200.18917709298731</c:v>
                </c:pt>
                <c:pt idx="353">
                  <c:v>-200.61366253335476</c:v>
                </c:pt>
                <c:pt idx="354">
                  <c:v>-201.03598542328842</c:v>
                </c:pt>
                <c:pt idx="355">
                  <c:v>-201.45615751235385</c:v>
                </c:pt>
                <c:pt idx="356">
                  <c:v>-201.874190537949</c:v>
                </c:pt>
                <c:pt idx="357">
                  <c:v>-202.29914032637328</c:v>
                </c:pt>
                <c:pt idx="358">
                  <c:v>-202.72188149114052</c:v>
                </c:pt>
                <c:pt idx="359">
                  <c:v>-203.1424265025714</c:v>
                </c:pt>
                <c:pt idx="360">
                  <c:v>-203.56078780967215</c:v>
                </c:pt>
                <c:pt idx="361">
                  <c:v>-203.98701539331987</c:v>
                </c:pt>
                <c:pt idx="362">
                  <c:v>-204.41097873869879</c:v>
                </c:pt>
                <c:pt idx="363">
                  <c:v>-204.8326911384834</c:v>
                </c:pt>
                <c:pt idx="364">
                  <c:v>-205.2521658540648</c:v>
                </c:pt>
                <c:pt idx="365">
                  <c:v>-205.67866317739879</c:v>
                </c:pt>
                <c:pt idx="366">
                  <c:v>-206.10285017382176</c:v>
                </c:pt>
                <c:pt idx="367">
                  <c:v>-206.52474089579377</c:v>
                </c:pt>
                <c:pt idx="368">
                  <c:v>-206.94434935413489</c:v>
                </c:pt>
                <c:pt idx="369">
                  <c:v>-207.3718679071859</c:v>
                </c:pt>
                <c:pt idx="370">
                  <c:v>-207.79702082646247</c:v>
                </c:pt>
                <c:pt idx="371">
                  <c:v>-208.21982302922083</c:v>
                </c:pt>
                <c:pt idx="372">
                  <c:v>-208.64028937972807</c:v>
                </c:pt>
                <c:pt idx="373">
                  <c:v>-209.06783572623422</c:v>
                </c:pt>
                <c:pt idx="374">
                  <c:v>-209.49297096107787</c:v>
                </c:pt>
                <c:pt idx="375">
                  <c:v>-209.91571079467215</c:v>
                </c:pt>
                <c:pt idx="376">
                  <c:v>-210.33607087286174</c:v>
                </c:pt>
                <c:pt idx="377">
                  <c:v>-210.76433786625196</c:v>
                </c:pt>
                <c:pt idx="378">
                  <c:v>-211.19013941245788</c:v>
                </c:pt>
                <c:pt idx="379">
                  <c:v>-211.61349212235584</c:v>
                </c:pt>
                <c:pt idx="380">
                  <c:v>-212.03441252952797</c:v>
                </c:pt>
                <c:pt idx="381">
                  <c:v>-212.46189645200212</c:v>
                </c:pt>
                <c:pt idx="382">
                  <c:v>-212.88687688861148</c:v>
                </c:pt>
                <c:pt idx="383">
                  <c:v>-213.30937120511749</c:v>
                </c:pt>
                <c:pt idx="384">
                  <c:v>-213.72939667766596</c:v>
                </c:pt>
                <c:pt idx="385">
                  <c:v>-214.15728829889298</c:v>
                </c:pt>
                <c:pt idx="386">
                  <c:v>-214.58262363051688</c:v>
                </c:pt>
                <c:pt idx="387">
                  <c:v>-215.00542096487916</c:v>
                </c:pt>
                <c:pt idx="388">
                  <c:v>-215.4256984907187</c:v>
                </c:pt>
                <c:pt idx="389">
                  <c:v>-215.85304327137953</c:v>
                </c:pt>
                <c:pt idx="390">
                  <c:v>-216.27778929957569</c:v>
                </c:pt>
                <c:pt idx="391">
                  <c:v>-216.69995570388244</c:v>
                </c:pt>
                <c:pt idx="392">
                  <c:v>-217.11956149544912</c:v>
                </c:pt>
                <c:pt idx="393">
                  <c:v>-217.54596321714479</c:v>
                </c:pt>
                <c:pt idx="394">
                  <c:v>-217.9697278354929</c:v>
                </c:pt>
                <c:pt idx="395">
                  <c:v>-218.39087528578676</c:v>
                </c:pt>
                <c:pt idx="396">
                  <c:v>-218.80942537190353</c:v>
                </c:pt>
                <c:pt idx="397">
                  <c:v>-219.23546463212898</c:v>
                </c:pt>
                <c:pt idx="398">
                  <c:v>-219.65882051613065</c:v>
                </c:pt>
                <c:pt idx="399">
                  <c:v>-220.07951387310001</c:v>
                </c:pt>
                <c:pt idx="400">
                  <c:v>-220.49756540544311</c:v>
                </c:pt>
                <c:pt idx="401">
                  <c:v>-220.92234323253783</c:v>
                </c:pt>
                <c:pt idx="402">
                  <c:v>-221.34440193179535</c:v>
                </c:pt>
                <c:pt idx="403">
                  <c:v>-221.76376316131405</c:v>
                </c:pt>
                <c:pt idx="404">
                  <c:v>-222.18044841760226</c:v>
                </c:pt>
                <c:pt idx="405">
                  <c:v>-222.60404446250647</c:v>
                </c:pt>
                <c:pt idx="406">
                  <c:v>-223.02488405720297</c:v>
                </c:pt>
                <c:pt idx="407">
                  <c:v>-223.44298970228812</c:v>
                </c:pt>
                <c:pt idx="408">
                  <c:v>-223.85838372127193</c:v>
                </c:pt>
                <c:pt idx="409">
                  <c:v>-224.28085026798922</c:v>
                </c:pt>
                <c:pt idx="410">
                  <c:v>-224.70052173298504</c:v>
                </c:pt>
                <c:pt idx="411">
                  <c:v>-225.11742149185179</c:v>
                </c:pt>
                <c:pt idx="412">
                  <c:v>-225.53157272687633</c:v>
                </c:pt>
                <c:pt idx="413">
                  <c:v>-225.9525040786159</c:v>
                </c:pt>
                <c:pt idx="414">
                  <c:v>-226.37060647938563</c:v>
                </c:pt>
                <c:pt idx="415">
                  <c:v>-226.78590413632475</c:v>
                </c:pt>
                <c:pt idx="416">
                  <c:v>-227.19842104716349</c:v>
                </c:pt>
                <c:pt idx="417">
                  <c:v>-227.61785372046407</c:v>
                </c:pt>
                <c:pt idx="418">
                  <c:v>-228.03442257575955</c:v>
                </c:pt>
                <c:pt idx="419">
                  <c:v>-228.44815268018823</c:v>
                </c:pt>
                <c:pt idx="420">
                  <c:v>-228.8590688747064</c:v>
                </c:pt>
                <c:pt idx="421">
                  <c:v>-229.27619740069872</c:v>
                </c:pt>
                <c:pt idx="422">
                  <c:v>-229.69043784064266</c:v>
                </c:pt>
                <c:pt idx="423">
                  <c:v>-230.10181599641558</c:v>
                </c:pt>
                <c:pt idx="424">
                  <c:v>-230.51035742816038</c:v>
                </c:pt>
                <c:pt idx="425">
                  <c:v>-230.92603574379365</c:v>
                </c:pt>
                <c:pt idx="426">
                  <c:v>-231.33878957068472</c:v>
                </c:pt>
                <c:pt idx="427">
                  <c:v>-231.74864562251645</c:v>
                </c:pt>
                <c:pt idx="428">
                  <c:v>-232.15563035317166</c:v>
                </c:pt>
                <c:pt idx="429">
                  <c:v>-232.56905395194804</c:v>
                </c:pt>
                <c:pt idx="430">
                  <c:v>-232.97952749708588</c:v>
                </c:pt>
                <c:pt idx="431">
                  <c:v>-233.38707848229379</c:v>
                </c:pt>
                <c:pt idx="432">
                  <c:v>-233.79173412479798</c:v>
                </c:pt>
                <c:pt idx="433">
                  <c:v>-234.20254288722344</c:v>
                </c:pt>
                <c:pt idx="434">
                  <c:v>-234.61038102355812</c:v>
                </c:pt>
                <c:pt idx="435">
                  <c:v>-235.0152767501782</c:v>
                </c:pt>
                <c:pt idx="436">
                  <c:v>-235.41725799083267</c:v>
                </c:pt>
                <c:pt idx="437">
                  <c:v>-235.82584574478594</c:v>
                </c:pt>
                <c:pt idx="438">
                  <c:v>-236.2314364999165</c:v>
                </c:pt>
                <c:pt idx="439">
                  <c:v>-236.6340592911703</c:v>
                </c:pt>
                <c:pt idx="440">
                  <c:v>-237.03374284314748</c:v>
                </c:pt>
                <c:pt idx="441">
                  <c:v>-237.43973317011751</c:v>
                </c:pt>
                <c:pt idx="442">
                  <c:v>-237.84270546124694</c:v>
                </c:pt>
                <c:pt idx="443">
                  <c:v>-238.24268950746847</c:v>
                </c:pt>
                <c:pt idx="444">
                  <c:v>-238.63971477227111</c:v>
                </c:pt>
                <c:pt idx="445">
                  <c:v>-239.04275675084918</c:v>
                </c:pt>
                <c:pt idx="446">
                  <c:v>-239.44276487900186</c:v>
                </c:pt>
                <c:pt idx="447">
                  <c:v>-239.83976963909856</c:v>
                </c:pt>
                <c:pt idx="448">
                  <c:v>-240.23380116969238</c:v>
                </c:pt>
                <c:pt idx="449">
                  <c:v>-240.6342367891329</c:v>
                </c:pt>
                <c:pt idx="450">
                  <c:v>-241.0316176668093</c:v>
                </c:pt>
                <c:pt idx="451">
                  <c:v>-241.4259750664049</c:v>
                </c:pt>
                <c:pt idx="452">
                  <c:v>-241.81733988982583</c:v>
                </c:pt>
                <c:pt idx="453">
                  <c:v>-242.2144843266731</c:v>
                </c:pt>
                <c:pt idx="454">
                  <c:v>-242.60856364821296</c:v>
                </c:pt>
                <c:pt idx="455">
                  <c:v>-242.99960975157887</c:v>
                </c:pt>
                <c:pt idx="456">
                  <c:v>-243.38765415621549</c:v>
                </c:pt>
                <c:pt idx="457">
                  <c:v>-243.78183059066603</c:v>
                </c:pt>
                <c:pt idx="458">
                  <c:v>-244.17292682264181</c:v>
                </c:pt>
                <c:pt idx="459">
                  <c:v>-244.56097546846235</c:v>
                </c:pt>
                <c:pt idx="460">
                  <c:v>-244.94600874927977</c:v>
                </c:pt>
                <c:pt idx="461">
                  <c:v>-245.33687983418466</c:v>
                </c:pt>
                <c:pt idx="462">
                  <c:v>-245.72466113342819</c:v>
                </c:pt>
                <c:pt idx="463">
                  <c:v>-246.10938590863336</c:v>
                </c:pt>
                <c:pt idx="464">
                  <c:v>-246.4910870097325</c:v>
                </c:pt>
                <c:pt idx="465">
                  <c:v>-246.87863727779464</c:v>
                </c:pt>
                <c:pt idx="466">
                  <c:v>-247.26308880018883</c:v>
                </c:pt>
                <c:pt idx="467">
                  <c:v>-247.64447548628024</c:v>
                </c:pt>
                <c:pt idx="468">
                  <c:v>-248.02283081695361</c:v>
                </c:pt>
                <c:pt idx="469">
                  <c:v>-248.40674895364808</c:v>
                </c:pt>
                <c:pt idx="470">
                  <c:v>-248.78756482255704</c:v>
                </c:pt>
                <c:pt idx="471">
                  <c:v>-249.16531290352745</c:v>
                </c:pt>
                <c:pt idx="472">
                  <c:v>-249.54002723221507</c:v>
                </c:pt>
                <c:pt idx="473">
                  <c:v>-249.92058175878711</c:v>
                </c:pt>
                <c:pt idx="474">
                  <c:v>-250.29802672026884</c:v>
                </c:pt>
                <c:pt idx="475">
                  <c:v>-250.67239724193124</c:v>
                </c:pt>
                <c:pt idx="476">
                  <c:v>-251.04372798761742</c:v>
                </c:pt>
                <c:pt idx="477">
                  <c:v>-251.42060824577527</c:v>
                </c:pt>
                <c:pt idx="478">
                  <c:v>-251.79437727153052</c:v>
                </c:pt>
                <c:pt idx="479">
                  <c:v>-252.16507075315477</c:v>
                </c:pt>
                <c:pt idx="480">
                  <c:v>-252.5327239014336</c:v>
                </c:pt>
                <c:pt idx="481">
                  <c:v>-252.90564774985262</c:v>
                </c:pt>
                <c:pt idx="482">
                  <c:v>-253.27546410350047</c:v>
                </c:pt>
                <c:pt idx="483">
                  <c:v>-253.64220913118322</c:v>
                </c:pt>
                <c:pt idx="484">
                  <c:v>-254.00591850940026</c:v>
                </c:pt>
                <c:pt idx="485">
                  <c:v>-254.3748817093385</c:v>
                </c:pt>
                <c:pt idx="486">
                  <c:v>-254.74074211758193</c:v>
                </c:pt>
                <c:pt idx="487">
                  <c:v>-255.10353637577492</c:v>
                </c:pt>
                <c:pt idx="488">
                  <c:v>-255.46330061834868</c:v>
                </c:pt>
                <c:pt idx="489">
                  <c:v>-255.8285345519129</c:v>
                </c:pt>
                <c:pt idx="490">
                  <c:v>-256.19066742562285</c:v>
                </c:pt>
                <c:pt idx="491">
                  <c:v>-256.54973641686269</c:v>
                </c:pt>
                <c:pt idx="492">
                  <c:v>-256.90577817946638</c:v>
                </c:pt>
                <c:pt idx="493">
                  <c:v>-257.26700946571623</c:v>
                </c:pt>
                <c:pt idx="494">
                  <c:v>-257.62514699780695</c:v>
                </c:pt>
                <c:pt idx="495">
                  <c:v>-257.9802283993543</c:v>
                </c:pt>
                <c:pt idx="496">
                  <c:v>-258.33229075547052</c:v>
                </c:pt>
                <c:pt idx="497">
                  <c:v>-258.68950082529284</c:v>
                </c:pt>
                <c:pt idx="498">
                  <c:v>-259.04362585476514</c:v>
                </c:pt>
                <c:pt idx="499">
                  <c:v>-259.39470389695043</c:v>
                </c:pt>
                <c:pt idx="500">
                  <c:v>-259.74277245149034</c:v>
                </c:pt>
                <c:pt idx="501">
                  <c:v>-260.09594005196425</c:v>
                </c:pt>
                <c:pt idx="502">
                  <c:v>-260.44603285607553</c:v>
                </c:pt>
                <c:pt idx="503">
                  <c:v>-260.79308932652708</c:v>
                </c:pt>
                <c:pt idx="504">
                  <c:v>-261.13714735776188</c:v>
                </c:pt>
                <c:pt idx="505">
                  <c:v>-261.48603896261494</c:v>
                </c:pt>
                <c:pt idx="506">
                  <c:v>-261.83187134113507</c:v>
                </c:pt>
                <c:pt idx="507">
                  <c:v>-262.17468327279636</c:v>
                </c:pt>
                <c:pt idx="508">
                  <c:v>-262.51451295550385</c:v>
                </c:pt>
                <c:pt idx="509">
                  <c:v>-262.85912687095384</c:v>
                </c:pt>
                <c:pt idx="510">
                  <c:v>-263.20069856334385</c:v>
                </c:pt>
                <c:pt idx="511">
                  <c:v>-263.53926710663467</c:v>
                </c:pt>
                <c:pt idx="512">
                  <c:v>-263.87487098006807</c:v>
                </c:pt>
                <c:pt idx="513">
                  <c:v>-264.21540088090785</c:v>
                </c:pt>
                <c:pt idx="514">
                  <c:v>-264.5529035980212</c:v>
                </c:pt>
                <c:pt idx="515">
                  <c:v>-264.88741854269097</c:v>
                </c:pt>
                <c:pt idx="516">
                  <c:v>-265.21898451714208</c:v>
                </c:pt>
                <c:pt idx="517">
                  <c:v>-265.55521770183498</c:v>
                </c:pt>
                <c:pt idx="518">
                  <c:v>-265.88844400381544</c:v>
                </c:pt>
                <c:pt idx="519">
                  <c:v>-266.21870307349053</c:v>
                </c:pt>
                <c:pt idx="520">
                  <c:v>-266.54603393955779</c:v>
                </c:pt>
                <c:pt idx="521">
                  <c:v>-266.87796908122579</c:v>
                </c:pt>
                <c:pt idx="522">
                  <c:v>-267.20691927948019</c:v>
                </c:pt>
                <c:pt idx="523">
                  <c:v>-267.53292439348672</c:v>
                </c:pt>
                <c:pt idx="524">
                  <c:v>-267.85602364836956</c:v>
                </c:pt>
                <c:pt idx="525">
                  <c:v>-268.18366089300883</c:v>
                </c:pt>
                <c:pt idx="526">
                  <c:v>-268.50833681109322</c:v>
                </c:pt>
                <c:pt idx="527">
                  <c:v>-268.83009143772108</c:v>
                </c:pt>
                <c:pt idx="528">
                  <c:v>-269.14896416199247</c:v>
                </c:pt>
                <c:pt idx="529">
                  <c:v>-269.47230578815362</c:v>
                </c:pt>
                <c:pt idx="530">
                  <c:v>-269.79271140617129</c:v>
                </c:pt>
                <c:pt idx="531">
                  <c:v>-270.11022119193461</c:v>
                </c:pt>
                <c:pt idx="532">
                  <c:v>-270.42487466381243</c:v>
                </c:pt>
                <c:pt idx="533">
                  <c:v>-270.74408962698845</c:v>
                </c:pt>
                <c:pt idx="534">
                  <c:v>-271.06039262730496</c:v>
                </c:pt>
                <c:pt idx="535">
                  <c:v>-271.37382400604719</c:v>
                </c:pt>
                <c:pt idx="536">
                  <c:v>-271.68442343458514</c:v>
                </c:pt>
                <c:pt idx="537">
                  <c:v>-271.99918618620632</c:v>
                </c:pt>
                <c:pt idx="538">
                  <c:v>-272.31106877321594</c:v>
                </c:pt>
                <c:pt idx="539">
                  <c:v>-272.62011153787734</c:v>
                </c:pt>
                <c:pt idx="540">
                  <c:v>-272.92635414346188</c:v>
                </c:pt>
                <c:pt idx="541">
                  <c:v>-273.23699897093894</c:v>
                </c:pt>
                <c:pt idx="542">
                  <c:v>-273.54479125647646</c:v>
                </c:pt>
                <c:pt idx="543">
                  <c:v>-273.84977142484161</c:v>
                </c:pt>
                <c:pt idx="544">
                  <c:v>-274.15197921060951</c:v>
                </c:pt>
                <c:pt idx="545">
                  <c:v>-274.45835865114992</c:v>
                </c:pt>
                <c:pt idx="546">
                  <c:v>-274.76191778337835</c:v>
                </c:pt>
                <c:pt idx="547">
                  <c:v>-275.06269701009364</c:v>
                </c:pt>
                <c:pt idx="548">
                  <c:v>-275.3607360347674</c:v>
                </c:pt>
                <c:pt idx="549">
                  <c:v>-275.66287085335688</c:v>
                </c:pt>
                <c:pt idx="550">
                  <c:v>-275.96221918976022</c:v>
                </c:pt>
                <c:pt idx="551">
                  <c:v>-276.25882138103754</c:v>
                </c:pt>
                <c:pt idx="552">
                  <c:v>-276.55271705652746</c:v>
                </c:pt>
                <c:pt idx="553">
                  <c:v>-276.8507689788126</c:v>
                </c:pt>
                <c:pt idx="554">
                  <c:v>-277.1460672605042</c:v>
                </c:pt>
                <c:pt idx="555">
                  <c:v>-277.43865218322281</c:v>
                </c:pt>
                <c:pt idx="556">
                  <c:v>-277.72856331196721</c:v>
                </c:pt>
                <c:pt idx="557">
                  <c:v>-278.31381243086253</c:v>
                </c:pt>
                <c:pt idx="558">
                  <c:v>-278.8883451553163</c:v>
                </c:pt>
                <c:pt idx="559">
                  <c:v>-279.46528533130157</c:v>
                </c:pt>
                <c:pt idx="560">
                  <c:v>-280.03166224528803</c:v>
                </c:pt>
                <c:pt idx="561">
                  <c:v>-280.60085947150304</c:v>
                </c:pt>
                <c:pt idx="562">
                  <c:v>-281.15963379632683</c:v>
                </c:pt>
                <c:pt idx="563">
                  <c:v>-281.71996022923122</c:v>
                </c:pt>
                <c:pt idx="564">
                  <c:v>-282.27005276550511</c:v>
                </c:pt>
                <c:pt idx="565">
                  <c:v>-282.82370946747722</c:v>
                </c:pt>
                <c:pt idx="566">
                  <c:v>-283.36724908351329</c:v>
                </c:pt>
                <c:pt idx="567">
                  <c:v>-283.91398060301646</c:v>
                </c:pt>
                <c:pt idx="568">
                  <c:v>-284.45072836094397</c:v>
                </c:pt>
                <c:pt idx="569">
                  <c:v>-284.98824117021201</c:v>
                </c:pt>
                <c:pt idx="570">
                  <c:v>-285.5159936560101</c:v>
                </c:pt>
                <c:pt idx="571">
                  <c:v>-286.04838113904725</c:v>
                </c:pt>
                <c:pt idx="572">
                  <c:v>-286.57109112708451</c:v>
                </c:pt>
                <c:pt idx="573">
                  <c:v>-287.09412960639497</c:v>
                </c:pt>
                <c:pt idx="574">
                  <c:v>-287.60773193707325</c:v>
                </c:pt>
                <c:pt idx="575">
                  <c:v>-288.12529503842256</c:v>
                </c:pt>
                <c:pt idx="576">
                  <c:v>-288.63353091662486</c:v>
                </c:pt>
                <c:pt idx="577">
                  <c:v>-290.68833678015449</c:v>
                </c:pt>
                <c:pt idx="578">
                  <c:v>-292.60080429032251</c:v>
                </c:pt>
                <c:pt idx="579">
                  <c:v>-296.37255038219763</c:v>
                </c:pt>
                <c:pt idx="580">
                  <c:v>-299.97726792330604</c:v>
                </c:pt>
                <c:pt idx="581">
                  <c:v>-303.43028250047172</c:v>
                </c:pt>
                <c:pt idx="582">
                  <c:v>-306.75144409542656</c:v>
                </c:pt>
                <c:pt idx="583">
                  <c:v>-309.95191949918836</c:v>
                </c:pt>
                <c:pt idx="584">
                  <c:v>-313.04331581373202</c:v>
                </c:pt>
                <c:pt idx="585">
                  <c:v>-316.02869432961324</c:v>
                </c:pt>
                <c:pt idx="586">
                  <c:v>-318.90959732399176</c:v>
                </c:pt>
                <c:pt idx="587">
                  <c:v>-321.68560017083206</c:v>
                </c:pt>
                <c:pt idx="588">
                  <c:v>-324.35019128523135</c:v>
                </c:pt>
                <c:pt idx="589">
                  <c:v>-326.90072593057533</c:v>
                </c:pt>
                <c:pt idx="590">
                  <c:v>-329.33133796538971</c:v>
                </c:pt>
                <c:pt idx="591">
                  <c:v>-331.63807203919913</c:v>
                </c:pt>
                <c:pt idx="592">
                  <c:v>-333.81764586718401</c:v>
                </c:pt>
                <c:pt idx="593">
                  <c:v>-335.86917667283143</c:v>
                </c:pt>
                <c:pt idx="594">
                  <c:v>-337.79215010107362</c:v>
                </c:pt>
                <c:pt idx="595">
                  <c:v>-339.58849783084349</c:v>
                </c:pt>
                <c:pt idx="596">
                  <c:v>-341.26073955088066</c:v>
                </c:pt>
                <c:pt idx="597">
                  <c:v>-342.81323589609428</c:v>
                </c:pt>
                <c:pt idx="598">
                  <c:v>-344.25048890964916</c:v>
                </c:pt>
                <c:pt idx="599">
                  <c:v>-345.57838944644607</c:v>
                </c:pt>
                <c:pt idx="600">
                  <c:v>-346.80266191557973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108-48B6-A860-793AEC41F97D}"/>
            </c:ext>
          </c:extLst>
        </c:ser>
        <c:ser>
          <c:idx val="1"/>
          <c:order val="7"/>
          <c:tx>
            <c:v>Fc1</c:v>
          </c:tx>
          <c:spPr>
            <a:ln w="2540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ymbol val="plus"/>
            <c:size val="10"/>
            <c:spPr>
              <a:noFill/>
              <a:ln w="28575">
                <a:solidFill>
                  <a:schemeClr val="tx1"/>
                </a:solidFill>
              </a:ln>
            </c:spPr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9108-48B6-A860-793AEC41F97D}"/>
              </c:ext>
            </c:extLst>
          </c:dPt>
          <c:xVal>
            <c:numRef>
              <c:f>'Stability Calculations'!$A$617:$A$618</c:f>
              <c:numCache>
                <c:formatCode>General</c:formatCode>
                <c:ptCount val="2"/>
                <c:pt idx="0">
                  <c:v>6760.8</c:v>
                </c:pt>
                <c:pt idx="1">
                  <c:v>6760.8</c:v>
                </c:pt>
              </c:numCache>
            </c:numRef>
          </c:xVal>
          <c:yVal>
            <c:numRef>
              <c:f>'Stability Calculations'!$R$617:$R$618</c:f>
              <c:numCache>
                <c:formatCode>0.00</c:formatCode>
                <c:ptCount val="2"/>
                <c:pt idx="0">
                  <c:v>-121.75415659149201</c:v>
                </c:pt>
                <c:pt idx="1">
                  <c:v>-90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108-48B6-A860-793AEC41F97D}"/>
            </c:ext>
          </c:extLst>
        </c:ser>
        <c:ser>
          <c:idx val="0"/>
          <c:order val="8"/>
          <c:tx>
            <c:v>Fc2</c:v>
          </c:tx>
          <c:spPr>
            <a:ln w="2222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'Stability Calculations'!$A$619:$A$620</c:f>
              <c:numCache>
                <c:formatCode>General</c:formatCode>
                <c:ptCount val="2"/>
                <c:pt idx="0">
                  <c:v>6760.8</c:v>
                </c:pt>
                <c:pt idx="1">
                  <c:v>1000000</c:v>
                </c:pt>
              </c:numCache>
            </c:numRef>
          </c:xVal>
          <c:yVal>
            <c:numRef>
              <c:f>'Stability Calculations'!$R$619:$R$620</c:f>
              <c:numCache>
                <c:formatCode>0.00</c:formatCode>
                <c:ptCount val="2"/>
                <c:pt idx="0">
                  <c:v>-121.75415659149201</c:v>
                </c:pt>
                <c:pt idx="1">
                  <c:v>-121.75415659149201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108-48B6-A860-793AEC41F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13760"/>
        <c:axId val="137415296"/>
      </c:scatterChart>
      <c:valAx>
        <c:axId val="137377280"/>
        <c:scaling>
          <c:logBase val="10"/>
          <c:orientation val="minMax"/>
          <c:max val="1000000"/>
          <c:min val="1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minorGridlines>
          <c:spPr>
            <a:ln w="3175">
              <a:solidFill>
                <a:srgbClr val="969696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200">
                    <a:latin typeface="Arial" pitchFamily="34" charset="0"/>
                    <a:cs typeface="Arial" pitchFamily="34" charset="0"/>
                  </a:rPr>
                  <a:t>Frequency (Hz)</a:t>
                </a:r>
              </a:p>
            </c:rich>
          </c:tx>
          <c:layout>
            <c:manualLayout>
              <c:xMode val="edge"/>
              <c:yMode val="edge"/>
              <c:x val="0.43129335258697837"/>
              <c:y val="0.938287088475307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n-US"/>
          </a:p>
        </c:txPr>
        <c:crossAx val="139720192"/>
        <c:crossesAt val="-80"/>
        <c:crossBetween val="midCat"/>
      </c:valAx>
      <c:valAx>
        <c:axId val="139720192"/>
        <c:scaling>
          <c:orientation val="minMax"/>
          <c:max val="80"/>
          <c:min val="-8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200" u="none">
                    <a:solidFill>
                      <a:srgbClr val="FF0000"/>
                    </a:solidFill>
                    <a:latin typeface="Arial" pitchFamily="34" charset="0"/>
                    <a:cs typeface="Arial" pitchFamily="34" charset="0"/>
                  </a:rPr>
                  <a:t>Loop Gain (dB)</a:t>
                </a:r>
              </a:p>
            </c:rich>
          </c:tx>
          <c:layout>
            <c:manualLayout>
              <c:xMode val="edge"/>
              <c:yMode val="edge"/>
              <c:x val="1.8000828843762959E-2"/>
              <c:y val="0.37415033227229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n-US"/>
          </a:p>
        </c:txPr>
        <c:crossAx val="137377280"/>
        <c:crossesAt val="1.0000000000000005E-2"/>
        <c:crossBetween val="midCat"/>
        <c:majorUnit val="20"/>
      </c:valAx>
      <c:valAx>
        <c:axId val="137413760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37415296"/>
        <c:crosses val="autoZero"/>
        <c:crossBetween val="midCat"/>
      </c:valAx>
      <c:valAx>
        <c:axId val="137415296"/>
        <c:scaling>
          <c:orientation val="minMax"/>
          <c:max val="0"/>
          <c:min val="-180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206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200" b="1">
                    <a:solidFill>
                      <a:srgbClr val="002060"/>
                    </a:solidFill>
                    <a:latin typeface="Arial" pitchFamily="34" charset="0"/>
                    <a:cs typeface="Arial" pitchFamily="34" charset="0"/>
                  </a:rPr>
                  <a:t>Loop Phase  (°)</a:t>
                </a:r>
              </a:p>
            </c:rich>
          </c:tx>
          <c:layout>
            <c:manualLayout>
              <c:xMode val="edge"/>
              <c:yMode val="edge"/>
              <c:x val="0.9649302942395358"/>
              <c:y val="0.36763779527559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206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n-US"/>
          </a:p>
        </c:txPr>
        <c:crossAx val="137413760"/>
        <c:crosses val="max"/>
        <c:crossBetween val="midCat"/>
        <c:majorUnit val="4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noFill/>
    <a:ln w="9525">
      <a:solidFill>
        <a:srgbClr val="808080"/>
      </a:solidFill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88" r="0.75000000000000688" t="1" header="0.5" footer="0.5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r>
              <a:rPr lang="en-US" sz="2000">
                <a:latin typeface="Arial" pitchFamily="34" charset="0"/>
                <a:cs typeface="Arial" pitchFamily="34" charset="0"/>
                <a:sym typeface="Symbol"/>
              </a:rPr>
              <a:t></a:t>
            </a:r>
            <a:r>
              <a:rPr lang="en-US" sz="2000" b="1" i="0" u="none" strike="noStrike" baseline="0"/>
              <a:t>,  V</a:t>
            </a:r>
            <a:r>
              <a:rPr lang="en-US" sz="2000" b="1" i="0" u="none" strike="noStrike" baseline="-25000"/>
              <a:t>IN</a:t>
            </a:r>
            <a:r>
              <a:rPr lang="en-US" sz="2000" b="1" i="0" u="none" strike="noStrike" baseline="0"/>
              <a:t> = V</a:t>
            </a:r>
            <a:r>
              <a:rPr lang="en-US" sz="2000" b="1" i="0" u="none" strike="noStrike" baseline="-25000"/>
              <a:t>IN(nom)</a:t>
            </a:r>
            <a:endParaRPr lang="en-US" sz="20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7.7082846781954192E-2"/>
          <c:y val="1.41099694661579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399604911965282E-2"/>
          <c:y val="0.12372903654825702"/>
          <c:w val="0.82579990228506228"/>
          <c:h val="0.76068566810117366"/>
        </c:manualLayout>
      </c:layout>
      <c:lineChart>
        <c:grouping val="standard"/>
        <c:varyColors val="0"/>
        <c:ser>
          <c:idx val="0"/>
          <c:order val="0"/>
          <c:tx>
            <c:v>Efficiency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cat>
          <c:val>
            <c:numRef>
              <c:f>'Efficiency vs Load Calculations'!$BH$9:$BH$109</c:f>
              <c:numCache>
                <c:formatCode>0.00</c:formatCode>
                <c:ptCount val="101"/>
                <c:pt idx="0">
                  <c:v>0</c:v>
                </c:pt>
                <c:pt idx="1">
                  <c:v>63.170683427483063</c:v>
                </c:pt>
                <c:pt idx="2">
                  <c:v>77.332858696867547</c:v>
                </c:pt>
                <c:pt idx="3">
                  <c:v>83.572970869507088</c:v>
                </c:pt>
                <c:pt idx="4">
                  <c:v>87.081907045018127</c:v>
                </c:pt>
                <c:pt idx="5">
                  <c:v>89.328449489457498</c:v>
                </c:pt>
                <c:pt idx="6">
                  <c:v>90.888291986059329</c:v>
                </c:pt>
                <c:pt idx="7">
                  <c:v>92.033269328386169</c:v>
                </c:pt>
                <c:pt idx="8">
                  <c:v>92.908463452314251</c:v>
                </c:pt>
                <c:pt idx="9">
                  <c:v>93.598369121843916</c:v>
                </c:pt>
                <c:pt idx="10">
                  <c:v>94.155531020369764</c:v>
                </c:pt>
                <c:pt idx="11">
                  <c:v>94.614340976015683</c:v>
                </c:pt>
                <c:pt idx="12">
                  <c:v>94.998253819927072</c:v>
                </c:pt>
                <c:pt idx="13">
                  <c:v>95.323814723641505</c:v>
                </c:pt>
                <c:pt idx="14">
                  <c:v>95.603029018931167</c:v>
                </c:pt>
                <c:pt idx="15">
                  <c:v>95.844819287149434</c:v>
                </c:pt>
                <c:pt idx="16">
                  <c:v>96.055955104892362</c:v>
                </c:pt>
                <c:pt idx="17">
                  <c:v>96.241665442143386</c:v>
                </c:pt>
                <c:pt idx="18">
                  <c:v>96.406053283338295</c:v>
                </c:pt>
                <c:pt idx="19">
                  <c:v>96.552383183791889</c:v>
                </c:pt>
                <c:pt idx="20">
                  <c:v>96.683284984019267</c:v>
                </c:pt>
                <c:pt idx="21">
                  <c:v>96.800900880146827</c:v>
                </c:pt>
                <c:pt idx="22">
                  <c:v>96.906993411736607</c:v>
                </c:pt>
                <c:pt idx="23">
                  <c:v>97.003025969913764</c:v>
                </c:pt>
                <c:pt idx="24">
                  <c:v>97.090223652080141</c:v>
                </c:pt>
                <c:pt idx="25">
                  <c:v>97.169619841722351</c:v>
                </c:pt>
                <c:pt idx="26">
                  <c:v>97.242092272914078</c:v>
                </c:pt>
                <c:pt idx="27">
                  <c:v>97.308391248521403</c:v>
                </c:pt>
                <c:pt idx="28">
                  <c:v>97.369161933981289</c:v>
                </c:pt>
                <c:pt idx="29">
                  <c:v>97.424962128719585</c:v>
                </c:pt>
                <c:pt idx="30">
                  <c:v>97.476276550464036</c:v>
                </c:pt>
                <c:pt idx="31">
                  <c:v>97.523528405438256</c:v>
                </c:pt>
                <c:pt idx="32">
                  <c:v>97.567088827607307</c:v>
                </c:pt>
                <c:pt idx="33">
                  <c:v>97.607284631206426</c:v>
                </c:pt>
                <c:pt idx="34">
                  <c:v>97.644404718007593</c:v>
                </c:pt>
                <c:pt idx="35">
                  <c:v>97.678705404000794</c:v>
                </c:pt>
                <c:pt idx="36">
                  <c:v>97.710414872279856</c:v>
                </c:pt>
                <c:pt idx="37">
                  <c:v>97.739736914899524</c:v>
                </c:pt>
                <c:pt idx="38">
                  <c:v>97.766854092717608</c:v>
                </c:pt>
                <c:pt idx="39">
                  <c:v>97.791930416158024</c:v>
                </c:pt>
                <c:pt idx="40">
                  <c:v>97.815113629537507</c:v>
                </c:pt>
                <c:pt idx="41">
                  <c:v>97.83653716569674</c:v>
                </c:pt>
                <c:pt idx="42">
                  <c:v>97.856321825137599</c:v>
                </c:pt>
                <c:pt idx="43">
                  <c:v>97.874577223917186</c:v>
                </c:pt>
                <c:pt idx="44">
                  <c:v>97.8914030466089</c:v>
                </c:pt>
                <c:pt idx="45">
                  <c:v>97.906890134266604</c:v>
                </c:pt>
                <c:pt idx="46">
                  <c:v>97.921121432187149</c:v>
                </c:pt>
                <c:pt idx="47">
                  <c:v>97.934172818096471</c:v>
                </c:pt>
                <c:pt idx="48">
                  <c:v>97.946113827988469</c:v>
                </c:pt>
                <c:pt idx="49">
                  <c:v>97.957008294065346</c:v>
                </c:pt>
                <c:pt idx="50">
                  <c:v>97.96691490694252</c:v>
                </c:pt>
                <c:pt idx="51">
                  <c:v>97.975887712395107</c:v>
                </c:pt>
                <c:pt idx="52">
                  <c:v>97.983976551358694</c:v>
                </c:pt>
                <c:pt idx="53">
                  <c:v>97.991227450596512</c:v>
                </c:pt>
                <c:pt idx="54">
                  <c:v>97.997682970358028</c:v>
                </c:pt>
                <c:pt idx="55">
                  <c:v>98.003382514444439</c:v>
                </c:pt>
                <c:pt idx="56">
                  <c:v>98.008362607329502</c:v>
                </c:pt>
                <c:pt idx="57">
                  <c:v>98.012657142339208</c:v>
                </c:pt>
                <c:pt idx="58">
                  <c:v>98.016297604346519</c:v>
                </c:pt>
                <c:pt idx="59">
                  <c:v>98.019313269972955</c:v>
                </c:pt>
                <c:pt idx="60">
                  <c:v>98.021731387894434</c:v>
                </c:pt>
                <c:pt idx="61">
                  <c:v>98.023577341510148</c:v>
                </c:pt>
                <c:pt idx="62">
                  <c:v>98.024874795945422</c:v>
                </c:pt>
                <c:pt idx="63">
                  <c:v>98.025645831110594</c:v>
                </c:pt>
                <c:pt idx="64">
                  <c:v>98.025911062325093</c:v>
                </c:pt>
                <c:pt idx="65">
                  <c:v>98.02568974983113</c:v>
                </c:pt>
                <c:pt idx="66">
                  <c:v>98.024999898362822</c:v>
                </c:pt>
                <c:pt idx="67">
                  <c:v>98.023858347797756</c:v>
                </c:pt>
                <c:pt idx="68">
                  <c:v>98.022280855798599</c:v>
                </c:pt>
                <c:pt idx="69">
                  <c:v>98.020282173247381</c:v>
                </c:pt>
                <c:pt idx="70">
                  <c:v>98.017876113184656</c:v>
                </c:pt>
                <c:pt idx="71">
                  <c:v>98.015075613885159</c:v>
                </c:pt>
                <c:pt idx="72">
                  <c:v>98.011892796632466</c:v>
                </c:pt>
                <c:pt idx="73">
                  <c:v>98.008339018693675</c:v>
                </c:pt>
                <c:pt idx="74">
                  <c:v>98.004424921940952</c:v>
                </c:pt>
                <c:pt idx="75">
                  <c:v>98.000160477519827</c:v>
                </c:pt>
                <c:pt idx="76">
                  <c:v>97.995555026921636</c:v>
                </c:pt>
                <c:pt idx="77">
                  <c:v>97.990617319780924</c:v>
                </c:pt>
                <c:pt idx="78">
                  <c:v>97.985355548685575</c:v>
                </c:pt>
                <c:pt idx="79">
                  <c:v>97.979777381258188</c:v>
                </c:pt>
                <c:pt idx="80">
                  <c:v>97.973889989741622</c:v>
                </c:pt>
                <c:pt idx="81">
                  <c:v>97.967700078298591</c:v>
                </c:pt>
                <c:pt idx="82">
                  <c:v>97.961213908214077</c:v>
                </c:pt>
                <c:pt idx="83">
                  <c:v>97.954437321171966</c:v>
                </c:pt>
                <c:pt idx="84">
                  <c:v>97.947375760760096</c:v>
                </c:pt>
                <c:pt idx="85">
                  <c:v>97.94003429234354</c:v>
                </c:pt>
                <c:pt idx="86">
                  <c:v>97.932417621432762</c:v>
                </c:pt>
                <c:pt idx="87">
                  <c:v>97.924530110661465</c:v>
                </c:pt>
                <c:pt idx="88">
                  <c:v>97.91637579547826</c:v>
                </c:pt>
                <c:pt idx="89">
                  <c:v>97.907958398646628</c:v>
                </c:pt>
                <c:pt idx="90">
                  <c:v>97.899281343639245</c:v>
                </c:pt>
                <c:pt idx="91">
                  <c:v>97.890347767004485</c:v>
                </c:pt>
                <c:pt idx="92">
                  <c:v>97.881160529776196</c:v>
                </c:pt>
                <c:pt idx="93">
                  <c:v>97.871722227991526</c:v>
                </c:pt>
                <c:pt idx="94">
                  <c:v>97.86203520237504</c:v>
                </c:pt>
                <c:pt idx="95">
                  <c:v>97.852101547243066</c:v>
                </c:pt>
                <c:pt idx="96">
                  <c:v>97.841923118676505</c:v>
                </c:pt>
                <c:pt idx="97">
                  <c:v>97.831501542006478</c:v>
                </c:pt>
                <c:pt idx="98">
                  <c:v>97.820838218652924</c:v>
                </c:pt>
                <c:pt idx="99">
                  <c:v>97.809934332352412</c:v>
                </c:pt>
                <c:pt idx="100">
                  <c:v>97.798790854808587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C2-4F15-A46E-B2CB0B1D0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998336"/>
        <c:axId val="142008704"/>
      </c:lineChart>
      <c:lineChart>
        <c:grouping val="standard"/>
        <c:varyColors val="0"/>
        <c:ser>
          <c:idx val="2"/>
          <c:order val="1"/>
          <c:tx>
            <c:strRef>
              <c:f>'Efficiency vs Load Calculations'!$BK$8</c:f>
              <c:strCache>
                <c:ptCount val="1"/>
                <c:pt idx="0">
                  <c:v>Boost ''Control'' MOSFET Loss</c:v>
                </c:pt>
              </c:strCache>
            </c:strRef>
          </c:tx>
          <c:spPr>
            <a:ln w="38100">
              <a:solidFill>
                <a:srgbClr val="808000"/>
              </a:solidFill>
              <a:prstDash val="sysDash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cat>
          <c:val>
            <c:numRef>
              <c:f>'Efficiency vs Load Calculations'!$BK$9:$BK$109</c:f>
              <c:numCache>
                <c:formatCode>0.000</c:formatCode>
                <c:ptCount val="101"/>
                <c:pt idx="0">
                  <c:v>9.0158094717986803E-2</c:v>
                </c:pt>
                <c:pt idx="1">
                  <c:v>9.0782879406492489E-2</c:v>
                </c:pt>
                <c:pt idx="2">
                  <c:v>9.1409833474987101E-2</c:v>
                </c:pt>
                <c:pt idx="3">
                  <c:v>9.2038956932403548E-2</c:v>
                </c:pt>
                <c:pt idx="4">
                  <c:v>9.2670249793629964E-2</c:v>
                </c:pt>
                <c:pt idx="5">
                  <c:v>9.3303712079509937E-2</c:v>
                </c:pt>
                <c:pt idx="6">
                  <c:v>9.3939343816842602E-2</c:v>
                </c:pt>
                <c:pt idx="7">
                  <c:v>9.4577145038382743E-2</c:v>
                </c:pt>
                <c:pt idx="8">
                  <c:v>9.5217115782841213E-2</c:v>
                </c:pt>
                <c:pt idx="9">
                  <c:v>9.5859256094884937E-2</c:v>
                </c:pt>
                <c:pt idx="10">
                  <c:v>9.6503566025137391E-2</c:v>
                </c:pt>
                <c:pt idx="11">
                  <c:v>9.7150045630178886E-2</c:v>
                </c:pt>
                <c:pt idx="12">
                  <c:v>9.7798694972546923E-2</c:v>
                </c:pt>
                <c:pt idx="13">
                  <c:v>9.8449514120736631E-2</c:v>
                </c:pt>
                <c:pt idx="14">
                  <c:v>9.9102503149201215E-2</c:v>
                </c:pt>
                <c:pt idx="15">
                  <c:v>9.9757662138352438E-2</c:v>
                </c:pt>
                <c:pt idx="16">
                  <c:v>0.10041499117456122</c:v>
                </c:pt>
                <c:pt idx="17">
                  <c:v>0.10107449035015811</c:v>
                </c:pt>
                <c:pt idx="18">
                  <c:v>0.10173615976343395</c:v>
                </c:pt>
                <c:pt idx="19">
                  <c:v>0.10239999951864054</c:v>
                </c:pt>
                <c:pt idx="20">
                  <c:v>0.10306600972599134</c:v>
                </c:pt>
                <c:pt idx="21">
                  <c:v>0.10373419050166219</c:v>
                </c:pt>
                <c:pt idx="22">
                  <c:v>0.10440454196779203</c:v>
                </c:pt>
                <c:pt idx="23">
                  <c:v>0.10507706425248377</c:v>
                </c:pt>
                <c:pt idx="24">
                  <c:v>0.10575175748980514</c:v>
                </c:pt>
                <c:pt idx="25">
                  <c:v>0.10642862181978963</c:v>
                </c:pt>
                <c:pt idx="26">
                  <c:v>0.10710765738843722</c:v>
                </c:pt>
                <c:pt idx="27">
                  <c:v>0.10778886434771562</c:v>
                </c:pt>
                <c:pt idx="28">
                  <c:v>0.10847224285556109</c:v>
                </c:pt>
                <c:pt idx="29">
                  <c:v>0.10915779307587958</c:v>
                </c:pt>
                <c:pt idx="30">
                  <c:v>0.10984551517854776</c:v>
                </c:pt>
                <c:pt idx="31">
                  <c:v>0.11053540933941423</c:v>
                </c:pt>
                <c:pt idx="32">
                  <c:v>0.11122747574030059</c:v>
                </c:pt>
                <c:pt idx="33">
                  <c:v>0.11192171456900274</c:v>
                </c:pt>
                <c:pt idx="34">
                  <c:v>0.11261812601929208</c:v>
                </c:pt>
                <c:pt idx="35">
                  <c:v>0.11331671029091681</c:v>
                </c:pt>
                <c:pt idx="36">
                  <c:v>0.11401746758960321</c:v>
                </c:pt>
                <c:pt idx="37">
                  <c:v>0.11472039812705713</c:v>
                </c:pt>
                <c:pt idx="38">
                  <c:v>0.11542550212096531</c:v>
                </c:pt>
                <c:pt idx="39">
                  <c:v>0.1161327797949968</c:v>
                </c:pt>
                <c:pt idx="40">
                  <c:v>0.11684223137880453</c:v>
                </c:pt>
                <c:pt idx="41">
                  <c:v>0.11755385710802679</c:v>
                </c:pt>
                <c:pt idx="42">
                  <c:v>0.11826765722428881</c:v>
                </c:pt>
                <c:pt idx="43">
                  <c:v>0.11898363197520434</c:v>
                </c:pt>
                <c:pt idx="44">
                  <c:v>0.11970178161437738</c:v>
                </c:pt>
                <c:pt idx="45">
                  <c:v>0.12042210640140374</c:v>
                </c:pt>
                <c:pt idx="46">
                  <c:v>0.12114460660187293</c:v>
                </c:pt>
                <c:pt idx="47">
                  <c:v>0.12186928248736976</c:v>
                </c:pt>
                <c:pt idx="48">
                  <c:v>0.12259613433547627</c:v>
                </c:pt>
                <c:pt idx="49">
                  <c:v>0.1233251624297735</c:v>
                </c:pt>
                <c:pt idx="50">
                  <c:v>0.12405636705984344</c:v>
                </c:pt>
                <c:pt idx="51">
                  <c:v>0.12478974852127096</c:v>
                </c:pt>
                <c:pt idx="52">
                  <c:v>0.12552530711564569</c:v>
                </c:pt>
                <c:pt idx="53">
                  <c:v>0.12626304315056411</c:v>
                </c:pt>
                <c:pt idx="54">
                  <c:v>0.12700295693963159</c:v>
                </c:pt>
                <c:pt idx="55">
                  <c:v>0.12774504880246451</c:v>
                </c:pt>
                <c:pt idx="56">
                  <c:v>0.12848931906469227</c:v>
                </c:pt>
                <c:pt idx="57">
                  <c:v>0.12923576805795958</c:v>
                </c:pt>
                <c:pt idx="58">
                  <c:v>0.12998439611992862</c:v>
                </c:pt>
                <c:pt idx="59">
                  <c:v>0.13073520359428137</c:v>
                </c:pt>
                <c:pt idx="60">
                  <c:v>0.13148819083072166</c:v>
                </c:pt>
                <c:pt idx="61">
                  <c:v>0.13224335818497784</c:v>
                </c:pt>
                <c:pt idx="62">
                  <c:v>0.1330007060188049</c:v>
                </c:pt>
                <c:pt idx="63">
                  <c:v>0.13376023469998699</c:v>
                </c:pt>
                <c:pt idx="64">
                  <c:v>0.1345219446023399</c:v>
                </c:pt>
                <c:pt idx="65">
                  <c:v>0.13528583610571338</c:v>
                </c:pt>
                <c:pt idx="66">
                  <c:v>0.13605190959599386</c:v>
                </c:pt>
                <c:pt idx="67">
                  <c:v>0.136820165465107</c:v>
                </c:pt>
                <c:pt idx="68">
                  <c:v>0.13759060411102025</c:v>
                </c:pt>
                <c:pt idx="69">
                  <c:v>0.1383632259377455</c:v>
                </c:pt>
                <c:pt idx="70">
                  <c:v>0.13913803135534178</c:v>
                </c:pt>
                <c:pt idx="71">
                  <c:v>0.13991502077991802</c:v>
                </c:pt>
                <c:pt idx="72">
                  <c:v>0.14069419463363586</c:v>
                </c:pt>
                <c:pt idx="73">
                  <c:v>0.14147555334471246</c:v>
                </c:pt>
                <c:pt idx="74">
                  <c:v>0.1422590973474232</c:v>
                </c:pt>
                <c:pt idx="75">
                  <c:v>0.14304482708210486</c:v>
                </c:pt>
                <c:pt idx="76">
                  <c:v>0.14383274299515836</c:v>
                </c:pt>
                <c:pt idx="77">
                  <c:v>0.14462284553905172</c:v>
                </c:pt>
                <c:pt idx="78">
                  <c:v>0.1454151351723233</c:v>
                </c:pt>
                <c:pt idx="79">
                  <c:v>0.14620961235958457</c:v>
                </c:pt>
                <c:pt idx="80">
                  <c:v>0.14700627757152349</c:v>
                </c:pt>
                <c:pt idx="81">
                  <c:v>0.14780513128490746</c:v>
                </c:pt>
                <c:pt idx="82">
                  <c:v>0.14860617398258666</c:v>
                </c:pt>
                <c:pt idx="83">
                  <c:v>0.14940940615349713</c:v>
                </c:pt>
                <c:pt idx="84">
                  <c:v>0.15021482829266403</c:v>
                </c:pt>
                <c:pt idx="85">
                  <c:v>0.15102244090120531</c:v>
                </c:pt>
                <c:pt idx="86">
                  <c:v>0.15183224448633448</c:v>
                </c:pt>
                <c:pt idx="87">
                  <c:v>0.15264423956136441</c:v>
                </c:pt>
                <c:pt idx="88">
                  <c:v>0.1534584266457108</c:v>
                </c:pt>
                <c:pt idx="89">
                  <c:v>0.15427480626489531</c:v>
                </c:pt>
                <c:pt idx="90">
                  <c:v>0.15509337895054937</c:v>
                </c:pt>
                <c:pt idx="91">
                  <c:v>0.15591414524041775</c:v>
                </c:pt>
                <c:pt idx="92">
                  <c:v>0.1567371056783618</c:v>
                </c:pt>
                <c:pt idx="93">
                  <c:v>0.15756226081436372</c:v>
                </c:pt>
                <c:pt idx="94">
                  <c:v>0.1583896112045296</c:v>
                </c:pt>
                <c:pt idx="95">
                  <c:v>0.1592191574110936</c:v>
                </c:pt>
                <c:pt idx="96">
                  <c:v>0.16005090000242136</c:v>
                </c:pt>
                <c:pt idx="97">
                  <c:v>0.16088483955301419</c:v>
                </c:pt>
                <c:pt idx="98">
                  <c:v>0.16172097664351265</c:v>
                </c:pt>
                <c:pt idx="99">
                  <c:v>0.16255931186070044</c:v>
                </c:pt>
                <c:pt idx="100">
                  <c:v>0.1633998457975086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C2-4F15-A46E-B2CB0B1D0CAE}"/>
            </c:ext>
          </c:extLst>
        </c:ser>
        <c:ser>
          <c:idx val="3"/>
          <c:order val="2"/>
          <c:tx>
            <c:v>Inductor Loss</c:v>
          </c:tx>
          <c:spPr>
            <a:ln w="38100">
              <a:solidFill>
                <a:srgbClr val="800080"/>
              </a:solidFill>
              <a:prstDash val="dash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cat>
          <c:val>
            <c:numRef>
              <c:f>'Efficiency vs Load Calculations'!$BI$9:$BI$109</c:f>
              <c:numCache>
                <c:formatCode>0.000</c:formatCode>
                <c:ptCount val="101"/>
                <c:pt idx="0">
                  <c:v>0</c:v>
                </c:pt>
                <c:pt idx="1">
                  <c:v>5.2072404474627997E-5</c:v>
                </c:pt>
                <c:pt idx="2">
                  <c:v>2.0829222100493945E-4</c:v>
                </c:pt>
                <c:pt idx="3">
                  <c:v>4.6866725923554761E-4</c:v>
                </c:pt>
                <c:pt idx="4">
                  <c:v>8.3321053632532001E-4</c:v>
                </c:pt>
                <c:pt idx="5">
                  <c:v>1.3019402785744126E-3</c:v>
                </c:pt>
                <c:pt idx="6">
                  <c:v>1.8748799237026472E-3</c:v>
                </c:pt>
                <c:pt idx="7">
                  <c:v>2.5520581237797706E-3</c:v>
                </c:pt>
                <c:pt idx="8">
                  <c:v>3.3335087488082652E-3</c:v>
                </c:pt>
                <c:pt idx="9">
                  <c:v>4.2192708909595707E-3</c:v>
                </c:pt>
                <c:pt idx="10">
                  <c:v>5.2093888694646692E-3</c:v>
                </c:pt>
                <c:pt idx="11">
                  <c:v>6.3039122361602338E-3</c:v>
                </c:pt>
                <c:pt idx="12">
                  <c:v>7.5028957816915629E-3</c:v>
                </c:pt>
                <c:pt idx="13">
                  <c:v>8.8063995423738276E-3</c:v>
                </c:pt>
                <c:pt idx="14">
                  <c:v>1.0214488807713158E-2</c:v>
                </c:pt>
                <c:pt idx="15">
                  <c:v>1.1727234128589415E-2</c:v>
                </c:pt>
                <c:pt idx="16">
                  <c:v>1.3344711326102474E-2</c:v>
                </c:pt>
                <c:pt idx="17">
                  <c:v>1.5067001501084183E-2</c:v>
                </c:pt>
                <c:pt idx="18">
                  <c:v>1.6894191044278146E-2</c:v>
                </c:pt>
                <c:pt idx="19">
                  <c:v>1.882637164718973E-2</c:v>
                </c:pt>
                <c:pt idx="20">
                  <c:v>2.0863640313608971E-2</c:v>
                </c:pt>
                <c:pt idx="21">
                  <c:v>2.3006099371808857E-2</c:v>
                </c:pt>
                <c:pt idx="22">
                  <c:v>2.5253856487422049E-2</c:v>
                </c:pt>
                <c:pt idx="23">
                  <c:v>2.7607024676998999E-2</c:v>
                </c:pt>
                <c:pt idx="24">
                  <c:v>3.0065722322250684E-2</c:v>
                </c:pt>
                <c:pt idx="25">
                  <c:v>3.2630073184979243E-2</c:v>
                </c:pt>
                <c:pt idx="26">
                  <c:v>3.5300206422700091E-2</c:v>
                </c:pt>
                <c:pt idx="27">
                  <c:v>3.8076256604959342E-2</c:v>
                </c:pt>
                <c:pt idx="28">
                  <c:v>4.0958363730350049E-2</c:v>
                </c:pt>
                <c:pt idx="29">
                  <c:v>4.3946673244231738E-2</c:v>
                </c:pt>
                <c:pt idx="30">
                  <c:v>4.7041336057157004E-2</c:v>
                </c:pt>
                <c:pt idx="31">
                  <c:v>5.0242508564009872E-2</c:v>
                </c:pt>
                <c:pt idx="32">
                  <c:v>5.3550352663860344E-2</c:v>
                </c:pt>
                <c:pt idx="33">
                  <c:v>5.6965035780539852E-2</c:v>
                </c:pt>
                <c:pt idx="34">
                  <c:v>6.0486730883942498E-2</c:v>
                </c:pt>
                <c:pt idx="35">
                  <c:v>6.41156165120573E-2</c:v>
                </c:pt>
                <c:pt idx="36">
                  <c:v>6.7851876793736471E-2</c:v>
                </c:pt>
                <c:pt idx="37">
                  <c:v>7.1695701472205525E-2</c:v>
                </c:pt>
                <c:pt idx="38">
                  <c:v>7.5647285929320504E-2</c:v>
                </c:pt>
                <c:pt idx="39">
                  <c:v>7.9706831210578463E-2</c:v>
                </c:pt>
                <c:pt idx="40">
                  <c:v>8.3874544050886846E-2</c:v>
                </c:pt>
                <c:pt idx="41">
                  <c:v>8.8150636901098395E-2</c:v>
                </c:pt>
                <c:pt idx="42">
                  <c:v>9.2535327955317728E-2</c:v>
                </c:pt>
                <c:pt idx="43">
                  <c:v>9.7028841178986358E-2</c:v>
                </c:pt>
                <c:pt idx="44">
                  <c:v>0.10163140633775263</c:v>
                </c:pt>
                <c:pt idx="45">
                  <c:v>0.10634325902713412</c:v>
                </c:pt>
                <c:pt idx="46">
                  <c:v>0.11116464070297924</c:v>
                </c:pt>
                <c:pt idx="47">
                  <c:v>0.11609579871273573</c:v>
                </c:pt>
                <c:pt idx="48">
                  <c:v>0.12113698632753343</c:v>
                </c:pt>
                <c:pt idx="49">
                  <c:v>0.12628846277508968</c:v>
                </c:pt>
                <c:pt idx="50">
                  <c:v>0.13155049327344479</c:v>
                </c:pt>
                <c:pt idx="51">
                  <c:v>0.13692334906553622</c:v>
                </c:pt>
                <c:pt idx="52">
                  <c:v>0.1424073074546201</c:v>
                </c:pt>
                <c:pt idx="53">
                  <c:v>0.14800265184054878</c:v>
                </c:pt>
                <c:pt idx="54">
                  <c:v>0.15370967175691264</c:v>
                </c:pt>
                <c:pt idx="55">
                  <c:v>0.15952866290905676</c:v>
                </c:pt>
                <c:pt idx="56">
                  <c:v>0.16545992721298095</c:v>
                </c:pt>
                <c:pt idx="57">
                  <c:v>0.1715037728351328</c:v>
                </c:pt>
                <c:pt idx="58">
                  <c:v>0.177660514233104</c:v>
                </c:pt>
                <c:pt idx="59">
                  <c:v>0.18393047219724046</c:v>
                </c:pt>
                <c:pt idx="60">
                  <c:v>0.19031397389317567</c:v>
                </c:pt>
                <c:pt idx="61">
                  <c:v>0.196811352905299</c:v>
                </c:pt>
                <c:pt idx="62">
                  <c:v>0.20342294928116955</c:v>
                </c:pt>
                <c:pt idx="63">
                  <c:v>0.21014910957688637</c:v>
                </c:pt>
                <c:pt idx="64">
                  <c:v>0.2169901869034275</c:v>
                </c:pt>
                <c:pt idx="65">
                  <c:v>0.22394654097396843</c:v>
                </c:pt>
                <c:pt idx="66">
                  <c:v>0.23101853815219328</c:v>
                </c:pt>
                <c:pt idx="67">
                  <c:v>0.23820655150161002</c:v>
                </c:pt>
                <c:pt idx="68">
                  <c:v>0.2455109608358832</c:v>
                </c:pt>
                <c:pt idx="69">
                  <c:v>0.25293215277019632</c:v>
                </c:pt>
                <c:pt idx="70">
                  <c:v>0.2604705207736579</c:v>
                </c:pt>
                <c:pt idx="71">
                  <c:v>0.26812646522276434</c:v>
                </c:pt>
                <c:pt idx="72">
                  <c:v>0.27590039345593359</c:v>
                </c:pt>
                <c:pt idx="73">
                  <c:v>0.28379271982912319</c:v>
                </c:pt>
                <c:pt idx="74">
                  <c:v>0.29180386577254952</c:v>
                </c:pt>
                <c:pt idx="75">
                  <c:v>0.29993425984851851</c:v>
                </c:pt>
                <c:pt idx="76">
                  <c:v>0.3081843378103894</c:v>
                </c:pt>
                <c:pt idx="77">
                  <c:v>0.3165545426626804</c:v>
                </c:pt>
                <c:pt idx="78">
                  <c:v>0.32504532472233733</c:v>
                </c:pt>
                <c:pt idx="79">
                  <c:v>0.33365714168117866</c:v>
                </c:pt>
                <c:pt idx="80">
                  <c:v>0.34239045866953488</c:v>
                </c:pt>
                <c:pt idx="81">
                  <c:v>0.35124574832109806</c:v>
                </c:pt>
                <c:pt idx="82">
                  <c:v>0.36022349083900035</c:v>
                </c:pt>
                <c:pt idx="83">
                  <c:v>0.36932417406313778</c:v>
                </c:pt>
                <c:pt idx="84">
                  <c:v>0.37854829353875935</c:v>
                </c:pt>
                <c:pt idx="85">
                  <c:v>0.38789635258633676</c:v>
                </c:pt>
                <c:pt idx="86">
                  <c:v>0.39736886237273877</c:v>
                </c:pt>
                <c:pt idx="87">
                  <c:v>0.40696634198372339</c:v>
                </c:pt>
                <c:pt idx="88">
                  <c:v>0.41668931849777413</c:v>
                </c:pt>
                <c:pt idx="89">
                  <c:v>0.42653832706129496</c:v>
                </c:pt>
                <c:pt idx="90">
                  <c:v>0.43651391096518893</c:v>
                </c:pt>
                <c:pt idx="91">
                  <c:v>0.44661662172283884</c:v>
                </c:pt>
                <c:pt idx="92">
                  <c:v>0.45684701914951276</c:v>
                </c:pt>
                <c:pt idx="93">
                  <c:v>0.4672056714432184</c:v>
                </c:pt>
                <c:pt idx="94">
                  <c:v>0.47769315526702255</c:v>
                </c:pt>
                <c:pt idx="95">
                  <c:v>0.48831005583286891</c:v>
                </c:pt>
                <c:pt idx="96">
                  <c:v>0.49905696698690649</c:v>
                </c:pt>
                <c:pt idx="97">
                  <c:v>0.50993449129636381</c:v>
                </c:pt>
                <c:pt idx="98">
                  <c:v>0.52094324013798277</c:v>
                </c:pt>
                <c:pt idx="99">
                  <c:v>0.53208383378804791</c:v>
                </c:pt>
                <c:pt idx="100">
                  <c:v>0.54335690151402738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C2-4F15-A46E-B2CB0B1D0CAE}"/>
            </c:ext>
          </c:extLst>
        </c:ser>
        <c:ser>
          <c:idx val="1"/>
          <c:order val="3"/>
          <c:tx>
            <c:strRef>
              <c:f>'Efficiency vs Load Calculations'!$BL$8</c:f>
              <c:strCache>
                <c:ptCount val="1"/>
                <c:pt idx="0">
                  <c:v>Boost ''SYNC'' MOSFET Loss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ysDot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cat>
          <c:val>
            <c:numRef>
              <c:f>'Efficiency vs Load Calculations'!$BL$9:$BL$109</c:f>
              <c:numCache>
                <c:formatCode>0.000</c:formatCode>
                <c:ptCount val="101"/>
                <c:pt idx="0">
                  <c:v>1.6334999999999995E-2</c:v>
                </c:pt>
                <c:pt idx="1">
                  <c:v>1.8008599273820258E-2</c:v>
                </c:pt>
                <c:pt idx="2">
                  <c:v>1.9739062690201561E-2</c:v>
                </c:pt>
                <c:pt idx="3">
                  <c:v>2.1526441555522437E-2</c:v>
                </c:pt>
                <c:pt idx="4">
                  <c:v>2.3370791066512631E-2</c:v>
                </c:pt>
                <c:pt idx="5">
                  <c:v>2.5272170317083068E-2</c:v>
                </c:pt>
                <c:pt idx="6">
                  <c:v>2.723064230582211E-2</c:v>
                </c:pt>
                <c:pt idx="7">
                  <c:v>2.9246273944159899E-2</c:v>
                </c:pt>
                <c:pt idx="8">
                  <c:v>3.1319136065203215E-2</c:v>
                </c:pt>
                <c:pt idx="9">
                  <c:v>3.3449303433243018E-2</c:v>
                </c:pt>
                <c:pt idx="10">
                  <c:v>3.5636854753937464E-2</c:v>
                </c:pt>
                <c:pt idx="11">
                  <c:v>3.7881872685173137E-2</c:v>
                </c:pt>
                <c:pt idx="12">
                  <c:v>4.0184443848607636E-2</c:v>
                </c:pt>
                <c:pt idx="13">
                  <c:v>4.2544658841896614E-2</c:v>
                </c:pt>
                <c:pt idx="14">
                  <c:v>4.4962612251609052E-2</c:v>
                </c:pt>
                <c:pt idx="15">
                  <c:v>4.7438402666834217E-2</c:v>
                </c:pt>
                <c:pt idx="16">
                  <c:v>4.9972132693484383E-2</c:v>
                </c:pt>
                <c:pt idx="17">
                  <c:v>5.256390896929744E-2</c:v>
                </c:pt>
                <c:pt idx="18">
                  <c:v>5.5213842179543823E-2</c:v>
                </c:pt>
                <c:pt idx="19">
                  <c:v>5.7922047073442395E-2</c:v>
                </c:pt>
                <c:pt idx="20">
                  <c:v>6.0688642481290064E-2</c:v>
                </c:pt>
                <c:pt idx="21">
                  <c:v>6.3513751332310325E-2</c:v>
                </c:pt>
                <c:pt idx="22">
                  <c:v>6.6397500673226029E-2</c:v>
                </c:pt>
                <c:pt idx="23">
                  <c:v>6.9340021687561898E-2</c:v>
                </c:pt>
                <c:pt idx="24">
                  <c:v>7.2341449715682821E-2</c:v>
                </c:pt>
                <c:pt idx="25">
                  <c:v>7.5401924275573545E-2</c:v>
                </c:pt>
                <c:pt idx="26">
                  <c:v>7.8521589084366711E-2</c:v>
                </c:pt>
                <c:pt idx="27">
                  <c:v>8.1700592080625134E-2</c:v>
                </c:pt>
                <c:pt idx="28">
                  <c:v>8.4939085447385709E-2</c:v>
                </c:pt>
                <c:pt idx="29">
                  <c:v>8.8237225635971708E-2</c:v>
                </c:pt>
                <c:pt idx="30">
                  <c:v>9.159517339058075E-2</c:v>
                </c:pt>
                <c:pt idx="31">
                  <c:v>9.5013093773656465E-2</c:v>
                </c:pt>
                <c:pt idx="32">
                  <c:v>9.8491156192051205E-2</c:v>
                </c:pt>
                <c:pt idx="33">
                  <c:v>0.10202953442398846</c:v>
                </c:pt>
                <c:pt idx="34">
                  <c:v>0.10562840664683285</c:v>
                </c:pt>
                <c:pt idx="35">
                  <c:v>0.1092879554656771</c:v>
                </c:pt>
                <c:pt idx="36">
                  <c:v>0.11300836794275435</c:v>
                </c:pt>
                <c:pt idx="37">
                  <c:v>0.11678983562768545</c:v>
                </c:pt>
                <c:pt idx="38">
                  <c:v>0.12063255458857092</c:v>
                </c:pt>
                <c:pt idx="39">
                  <c:v>0.12453672544393707</c:v>
                </c:pt>
                <c:pt idx="40">
                  <c:v>0.12850255339554678</c:v>
                </c:pt>
                <c:pt idx="41">
                  <c:v>0.13253024826208565</c:v>
                </c:pt>
                <c:pt idx="42">
                  <c:v>0.13662002451373373</c:v>
                </c:pt>
                <c:pt idx="43">
                  <c:v>0.14077210130763465</c:v>
                </c:pt>
                <c:pt idx="44">
                  <c:v>0.14498670252427329</c:v>
                </c:pt>
                <c:pt idx="45">
                  <c:v>0.14926405680477361</c:v>
                </c:pt>
                <c:pt idx="46">
                  <c:v>0.15360439758912955</c:v>
                </c:pt>
                <c:pt idx="47">
                  <c:v>0.15800796315538065</c:v>
                </c:pt>
                <c:pt idx="48">
                  <c:v>0.1624749966597458</c:v>
                </c:pt>
                <c:pt idx="49">
                  <c:v>0.16700574617772823</c:v>
                </c:pt>
                <c:pt idx="50">
                  <c:v>0.17160046474620497</c:v>
                </c:pt>
                <c:pt idx="51">
                  <c:v>0.17625941040651569</c:v>
                </c:pt>
                <c:pt idx="52">
                  <c:v>0.18098284624856442</c:v>
                </c:pt>
                <c:pt idx="53">
                  <c:v>0.18577104045594889</c:v>
                </c:pt>
                <c:pt idx="54">
                  <c:v>0.19062426635213328</c:v>
                </c:pt>
                <c:pt idx="55">
                  <c:v>0.19554280244767963</c:v>
                </c:pt>
                <c:pt idx="56">
                  <c:v>0.20052693248855388</c:v>
                </c:pt>
                <c:pt idx="57">
                  <c:v>0.20557694550552241</c:v>
                </c:pt>
                <c:pt idx="58">
                  <c:v>0.21069313586465749</c:v>
                </c:pt>
                <c:pt idx="59">
                  <c:v>0.21587580331896686</c:v>
                </c:pt>
                <c:pt idx="60">
                  <c:v>0.22112525306116698</c:v>
                </c:pt>
                <c:pt idx="61">
                  <c:v>0.22644179577761719</c:v>
                </c:pt>
                <c:pt idx="62">
                  <c:v>0.2318257477034335</c:v>
                </c:pt>
                <c:pt idx="63">
                  <c:v>0.23727743067880189</c:v>
                </c:pt>
                <c:pt idx="64">
                  <c:v>0.2427971722065099</c:v>
                </c:pt>
                <c:pt idx="65">
                  <c:v>0.24838530551071719</c:v>
                </c:pt>
                <c:pt idx="66">
                  <c:v>0.25404216959698589</c:v>
                </c:pt>
                <c:pt idx="67">
                  <c:v>0.25976810931359179</c:v>
                </c:pt>
                <c:pt idx="68">
                  <c:v>0.26556347541413783</c:v>
                </c:pt>
                <c:pt idx="69">
                  <c:v>0.2714286246214927</c:v>
                </c:pt>
                <c:pt idx="70">
                  <c:v>0.277363919693078</c:v>
                </c:pt>
                <c:pt idx="71">
                  <c:v>0.28336972948752559</c:v>
                </c:pt>
                <c:pt idx="72">
                  <c:v>0.28944642903273138</c:v>
                </c:pt>
                <c:pt idx="73">
                  <c:v>0.29559439959532902</c:v>
                </c:pt>
                <c:pt idx="74">
                  <c:v>0.30181402875160956</c:v>
                </c:pt>
                <c:pt idx="75">
                  <c:v>0.30810571045991147</c:v>
                </c:pt>
                <c:pt idx="76">
                  <c:v>0.31446984513451071</c:v>
                </c:pt>
                <c:pt idx="77">
                  <c:v>0.32090683972103462</c:v>
                </c:pt>
                <c:pt idx="78">
                  <c:v>0.32741710777343058</c:v>
                </c:pt>
                <c:pt idx="79">
                  <c:v>0.33400106953251602</c:v>
                </c:pt>
                <c:pt idx="80">
                  <c:v>0.3406591520061415</c:v>
                </c:pt>
                <c:pt idx="81">
                  <c:v>0.3473917890509941</c:v>
                </c:pt>
                <c:pt idx="82">
                  <c:v>0.35419942145607486</c:v>
                </c:pt>
                <c:pt idx="83">
                  <c:v>0.3610824970278812</c:v>
                </c:pt>
                <c:pt idx="84">
                  <c:v>0.36804147067732523</c:v>
                </c:pt>
                <c:pt idx="85">
                  <c:v>0.37507680450842429</c:v>
                </c:pt>
                <c:pt idx="86">
                  <c:v>0.38218896790879592</c:v>
                </c:pt>
                <c:pt idx="87">
                  <c:v>0.38937843764199137</c:v>
                </c:pt>
                <c:pt idx="88">
                  <c:v>0.39664569794170823</c:v>
                </c:pt>
                <c:pt idx="89">
                  <c:v>0.40399124060791297</c:v>
                </c:pt>
                <c:pt idx="90">
                  <c:v>0.41141556510491623</c:v>
                </c:pt>
                <c:pt idx="91">
                  <c:v>0.41891917866143669</c:v>
                </c:pt>
                <c:pt idx="92">
                  <c:v>0.42650259637269544</c:v>
                </c:pt>
                <c:pt idx="93">
                  <c:v>0.43416634130458015</c:v>
                </c:pt>
                <c:pt idx="94">
                  <c:v>0.44191094459992047</c:v>
                </c:pt>
                <c:pt idx="95">
                  <c:v>0.44973694558692112</c:v>
                </c:pt>
                <c:pt idx="96">
                  <c:v>0.45764489188979129</c:v>
                </c:pt>
                <c:pt idx="97">
                  <c:v>0.46563533954162123</c:v>
                </c:pt>
                <c:pt idx="98">
                  <c:v>0.47370885309954708</c:v>
                </c:pt>
                <c:pt idx="99">
                  <c:v>0.48186600576225669</c:v>
                </c:pt>
                <c:pt idx="100">
                  <c:v>0.4901073794898802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C2-4F15-A46E-B2CB0B1D0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12800"/>
        <c:axId val="142010624"/>
      </c:lineChart>
      <c:catAx>
        <c:axId val="141998336"/>
        <c:scaling>
          <c:orientation val="minMax"/>
        </c:scaling>
        <c:delete val="0"/>
        <c:axPos val="b"/>
        <c:majorGridlines>
          <c:spPr>
            <a:ln w="158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FF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>
                    <a:solidFill>
                      <a:srgbClr val="0000FF"/>
                    </a:solidFill>
                    <a:latin typeface="Arial" pitchFamily="34" charset="0"/>
                    <a:cs typeface="Arial" pitchFamily="34" charset="0"/>
                  </a:rPr>
                  <a:t>Load Current (A)</a:t>
                </a:r>
              </a:p>
            </c:rich>
          </c:tx>
          <c:layout>
            <c:manualLayout>
              <c:xMode val="edge"/>
              <c:yMode val="edge"/>
              <c:x val="0.41625343343709942"/>
              <c:y val="0.945719135737313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FF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n-US"/>
          </a:p>
        </c:txPr>
        <c:crossAx val="142008704"/>
        <c:crosses val="autoZero"/>
        <c:auto val="1"/>
        <c:lblAlgn val="ctr"/>
        <c:lblOffset val="100"/>
        <c:tickLblSkip val="20"/>
        <c:tickMarkSkip val="20"/>
        <c:noMultiLvlLbl val="1"/>
      </c:catAx>
      <c:valAx>
        <c:axId val="142008704"/>
        <c:scaling>
          <c:orientation val="minMax"/>
          <c:max val="100"/>
          <c:min val="75"/>
        </c:scaling>
        <c:delete val="0"/>
        <c:axPos val="l"/>
        <c:majorGridlines>
          <c:spPr>
            <a:ln w="15875">
              <a:solidFill>
                <a:srgbClr val="80808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FF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 b="1">
                    <a:solidFill>
                      <a:srgbClr val="FF0000"/>
                    </a:solidFill>
                    <a:latin typeface="Arial" pitchFamily="34" charset="0"/>
                    <a:cs typeface="Arial" pitchFamily="34" charset="0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1.2871858674081443E-2"/>
              <c:y val="0.376381779156883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n-US"/>
          </a:p>
        </c:txPr>
        <c:crossAx val="141998336"/>
        <c:crosses val="autoZero"/>
        <c:crossBetween val="between"/>
        <c:majorUnit val="5"/>
        <c:minorUnit val="2.5"/>
      </c:valAx>
      <c:valAx>
        <c:axId val="14201062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 b="1"/>
                </a:pPr>
                <a:r>
                  <a:rPr lang="en-US" sz="1400" b="1"/>
                  <a:t>Power Loss (W)</a:t>
                </a:r>
              </a:p>
            </c:rich>
          </c:tx>
          <c:layout>
            <c:manualLayout>
              <c:xMode val="edge"/>
              <c:yMode val="edge"/>
              <c:x val="0.95594291793250197"/>
              <c:y val="0.37048873366731228"/>
            </c:manualLayout>
          </c:layout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11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42012800"/>
        <c:crosses val="max"/>
        <c:crossBetween val="between"/>
      </c:valAx>
      <c:catAx>
        <c:axId val="14201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201062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36120408747265326"/>
          <c:y val="1.1892626175886978E-2"/>
          <c:w val="0.61417999772302789"/>
          <c:h val="9.05765609084236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 pitchFamily="34" charset="0"/>
              <a:ea typeface="Calibri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solidFill>
        <a:srgbClr val="808080"/>
      </a:solidFill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 paperSize="5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r>
              <a:rPr lang="en-US" sz="2000">
                <a:latin typeface="Arial" pitchFamily="34" charset="0"/>
                <a:cs typeface="Arial" pitchFamily="34" charset="0"/>
                <a:sym typeface="Symbol"/>
              </a:rPr>
              <a:t></a:t>
            </a:r>
            <a:r>
              <a:rPr lang="en-US" sz="2000" b="1" i="0" u="none" strike="noStrike" baseline="0"/>
              <a:t>,  I</a:t>
            </a:r>
            <a:r>
              <a:rPr lang="en-US" sz="2000" b="1" i="0" u="none" strike="noStrike" baseline="-25000"/>
              <a:t>OUT</a:t>
            </a:r>
            <a:r>
              <a:rPr lang="en-US" sz="2000" b="1" i="0" u="none" strike="noStrike" baseline="0"/>
              <a:t> = I</a:t>
            </a:r>
            <a:r>
              <a:rPr lang="en-US" sz="2000" b="1" i="0" u="none" strike="noStrike" baseline="-25000"/>
              <a:t>OUT(max)</a:t>
            </a:r>
            <a:endParaRPr lang="en-US" sz="20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7.7082846781954192E-2"/>
          <c:y val="1.41099694661579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399604911965282E-2"/>
          <c:y val="0.12372903654825702"/>
          <c:w val="0.82579990228506228"/>
          <c:h val="0.76068566810117366"/>
        </c:manualLayout>
      </c:layout>
      <c:lineChart>
        <c:grouping val="standard"/>
        <c:varyColors val="0"/>
        <c:ser>
          <c:idx val="0"/>
          <c:order val="0"/>
          <c:tx>
            <c:v>Efficiency</c:v>
          </c:tx>
          <c:spPr>
            <a:ln w="317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cat>
          <c:val>
            <c:numRef>
              <c:f>'Efficiency vs VIN Calculations'!$BH$9:$BH$209</c:f>
              <c:numCache>
                <c:formatCode>0.00</c:formatCode>
                <c:ptCount val="201"/>
                <c:pt idx="0">
                  <c:v>82.914924636671799</c:v>
                </c:pt>
                <c:pt idx="1">
                  <c:v>85.348494276162711</c:v>
                </c:pt>
                <c:pt idx="2">
                  <c:v>87.09990652229321</c:v>
                </c:pt>
                <c:pt idx="3">
                  <c:v>88.433687053356309</c:v>
                </c:pt>
                <c:pt idx="4">
                  <c:v>89.491545407499231</c:v>
                </c:pt>
                <c:pt idx="5">
                  <c:v>90.356481479330824</c:v>
                </c:pt>
                <c:pt idx="6">
                  <c:v>91.080495081241537</c:v>
                </c:pt>
                <c:pt idx="7">
                  <c:v>91.697929996317356</c:v>
                </c:pt>
                <c:pt idx="8">
                  <c:v>92.232454651848187</c:v>
                </c:pt>
                <c:pt idx="9">
                  <c:v>92.700961909763976</c:v>
                </c:pt>
                <c:pt idx="10">
                  <c:v>93.115867585927731</c:v>
                </c:pt>
                <c:pt idx="11">
                  <c:v>93.486526975601691</c:v>
                </c:pt>
                <c:pt idx="12">
                  <c:v>93.820141431409326</c:v>
                </c:pt>
                <c:pt idx="13">
                  <c:v>94.122357707356755</c:v>
                </c:pt>
                <c:pt idx="14">
                  <c:v>94.397675520411596</c:v>
                </c:pt>
                <c:pt idx="15">
                  <c:v>94.649731643686792</c:v>
                </c:pt>
                <c:pt idx="16">
                  <c:v>94.881502323872652</c:v>
                </c:pt>
                <c:pt idx="17">
                  <c:v>95.095450352637229</c:v>
                </c:pt>
                <c:pt idx="18">
                  <c:v>95.293633818500027</c:v>
                </c:pt>
                <c:pt idx="19">
                  <c:v>95.477787809781631</c:v>
                </c:pt>
                <c:pt idx="20">
                  <c:v>95.649386687754571</c:v>
                </c:pt>
                <c:pt idx="21">
                  <c:v>95.809692179789678</c:v>
                </c:pt>
                <c:pt idx="22">
                  <c:v>95.9597909731377</c:v>
                </c:pt>
                <c:pt idx="23">
                  <c:v>96.10062443123941</c:v>
                </c:pt>
                <c:pt idx="24">
                  <c:v>96.233012327842815</c:v>
                </c:pt>
                <c:pt idx="25">
                  <c:v>96.357671987706766</c:v>
                </c:pt>
                <c:pt idx="26">
                  <c:v>96.475233864543242</c:v>
                </c:pt>
                <c:pt idx="27">
                  <c:v>96.586254330330618</c:v>
                </c:pt>
                <c:pt idx="28">
                  <c:v>96.691226264250872</c:v>
                </c:pt>
                <c:pt idx="29">
                  <c:v>96.790587893477934</c:v>
                </c:pt>
                <c:pt idx="30">
                  <c:v>96.884730237767826</c:v>
                </c:pt>
                <c:pt idx="31">
                  <c:v>96.974003435674533</c:v>
                </c:pt>
                <c:pt idx="32">
                  <c:v>97.05872217578694</c:v>
                </c:pt>
                <c:pt idx="33">
                  <c:v>97.139170417596915</c:v>
                </c:pt>
                <c:pt idx="34">
                  <c:v>97.436802113911909</c:v>
                </c:pt>
                <c:pt idx="35">
                  <c:v>97.504998237551021</c:v>
                </c:pt>
                <c:pt idx="36">
                  <c:v>97.569459361045702</c:v>
                </c:pt>
                <c:pt idx="37">
                  <c:v>97.630258004290667</c:v>
                </c:pt>
                <c:pt idx="38">
                  <c:v>97.687465265743782</c:v>
                </c:pt>
                <c:pt idx="39">
                  <c:v>97.741156073102232</c:v>
                </c:pt>
                <c:pt idx="40">
                  <c:v>97.796868931485619</c:v>
                </c:pt>
                <c:pt idx="41">
                  <c:v>97.793144163716519</c:v>
                </c:pt>
                <c:pt idx="42">
                  <c:v>97.788266219797919</c:v>
                </c:pt>
                <c:pt idx="43">
                  <c:v>97.782287200313789</c:v>
                </c:pt>
                <c:pt idx="44">
                  <c:v>97.775087358024777</c:v>
                </c:pt>
                <c:pt idx="45">
                  <c:v>97.766623461485494</c:v>
                </c:pt>
                <c:pt idx="46">
                  <c:v>97.75688860833732</c:v>
                </c:pt>
                <c:pt idx="47">
                  <c:v>97.745896926102048</c:v>
                </c:pt>
                <c:pt idx="48">
                  <c:v>97.733675702899731</c:v>
                </c:pt>
                <c:pt idx="49">
                  <c:v>97.720260731913527</c:v>
                </c:pt>
                <c:pt idx="50">
                  <c:v>97.705693322651527</c:v>
                </c:pt>
                <c:pt idx="51">
                  <c:v>97.845324150546475</c:v>
                </c:pt>
                <c:pt idx="52">
                  <c:v>97.83615404281764</c:v>
                </c:pt>
                <c:pt idx="53">
                  <c:v>97.826811353659991</c:v>
                </c:pt>
                <c:pt idx="54">
                  <c:v>97.817305312458586</c:v>
                </c:pt>
                <c:pt idx="55">
                  <c:v>97.80764515163402</c:v>
                </c:pt>
                <c:pt idx="56">
                  <c:v>97.797840015595156</c:v>
                </c:pt>
                <c:pt idx="57">
                  <c:v>97.787898893580234</c:v>
                </c:pt>
                <c:pt idx="58">
                  <c:v>97.777830570472105</c:v>
                </c:pt>
                <c:pt idx="59">
                  <c:v>97.767643591292838</c:v>
                </c:pt>
                <c:pt idx="60">
                  <c:v>97.757346236199979</c:v>
                </c:pt>
                <c:pt idx="61">
                  <c:v>97.746946503595467</c:v>
                </c:pt>
                <c:pt idx="62">
                  <c:v>97.736452099528009</c:v>
                </c:pt>
                <c:pt idx="63">
                  <c:v>97.72587043198746</c:v>
                </c:pt>
                <c:pt idx="64">
                  <c:v>97.715208609002616</c:v>
                </c:pt>
                <c:pt idx="65">
                  <c:v>97.704473439688599</c:v>
                </c:pt>
                <c:pt idx="66">
                  <c:v>97.693671437572206</c:v>
                </c:pt>
                <c:pt idx="67">
                  <c:v>97.68280882566151</c:v>
                </c:pt>
                <c:pt idx="68">
                  <c:v>97.671891542836491</c:v>
                </c:pt>
                <c:pt idx="69">
                  <c:v>97.660925251221926</c:v>
                </c:pt>
                <c:pt idx="70">
                  <c:v>97.649915344272259</c:v>
                </c:pt>
                <c:pt idx="71">
                  <c:v>97.638866955352242</c:v>
                </c:pt>
                <c:pt idx="72">
                  <c:v>97.627784966639581</c:v>
                </c:pt>
                <c:pt idx="73">
                  <c:v>97.616674018212024</c:v>
                </c:pt>
                <c:pt idx="74">
                  <c:v>97.605538517207719</c:v>
                </c:pt>
                <c:pt idx="75">
                  <c:v>97.594382646971923</c:v>
                </c:pt>
                <c:pt idx="76">
                  <c:v>97.583210376120732</c:v>
                </c:pt>
                <c:pt idx="77">
                  <c:v>97.572025467467569</c:v>
                </c:pt>
                <c:pt idx="78">
                  <c:v>97.56083148677088</c:v>
                </c:pt>
                <c:pt idx="79">
                  <c:v>97.549631811271141</c:v>
                </c:pt>
                <c:pt idx="80">
                  <c:v>97.538429637993019</c:v>
                </c:pt>
                <c:pt idx="81">
                  <c:v>97.527227991796209</c:v>
                </c:pt>
                <c:pt idx="82">
                  <c:v>97.516029733162711</c:v>
                </c:pt>
                <c:pt idx="83">
                  <c:v>97.504837565713288</c:v>
                </c:pt>
                <c:pt idx="84">
                  <c:v>97.49365404344961</c:v>
                </c:pt>
                <c:pt idx="85">
                  <c:v>97.482481577720691</c:v>
                </c:pt>
                <c:pt idx="86">
                  <c:v>97.471322443915227</c:v>
                </c:pt>
                <c:pt idx="87">
                  <c:v>97.460178787882938</c:v>
                </c:pt>
                <c:pt idx="88">
                  <c:v>97.449052632089462</c:v>
                </c:pt>
                <c:pt idx="89">
                  <c:v>97.437945881510629</c:v>
                </c:pt>
                <c:pt idx="90">
                  <c:v>97.426860329272472</c:v>
                </c:pt>
                <c:pt idx="91">
                  <c:v>97.415797662044383</c:v>
                </c:pt>
                <c:pt idx="92">
                  <c:v>97.404759465192953</c:v>
                </c:pt>
                <c:pt idx="93">
                  <c:v>97.393747227704608</c:v>
                </c:pt>
                <c:pt idx="94">
                  <c:v>97.382762346884888</c:v>
                </c:pt>
                <c:pt idx="95">
                  <c:v>97.371806132842892</c:v>
                </c:pt>
                <c:pt idx="96">
                  <c:v>97.360879812769255</c:v>
                </c:pt>
                <c:pt idx="97">
                  <c:v>97.349984535015395</c:v>
                </c:pt>
                <c:pt idx="98">
                  <c:v>97.33912137298266</c:v>
                </c:pt>
                <c:pt idx="99">
                  <c:v>97.328291328828911</c:v>
                </c:pt>
                <c:pt idx="100">
                  <c:v>97.31749533700075</c:v>
                </c:pt>
                <c:pt idx="101">
                  <c:v>97.3067342675985</c:v>
                </c:pt>
                <c:pt idx="102">
                  <c:v>97.296008929581703</c:v>
                </c:pt>
                <c:pt idx="103">
                  <c:v>97.28532007382212</c:v>
                </c:pt>
                <c:pt idx="104">
                  <c:v>97.274668396011108</c:v>
                </c:pt>
                <c:pt idx="105">
                  <c:v>97.264054539427875</c:v>
                </c:pt>
                <c:pt idx="106">
                  <c:v>97.253479097575621</c:v>
                </c:pt>
                <c:pt idx="107">
                  <c:v>97.242942616690698</c:v>
                </c:pt>
                <c:pt idx="108">
                  <c:v>97.232445598131818</c:v>
                </c:pt>
                <c:pt idx="109">
                  <c:v>97.221988500654078</c:v>
                </c:pt>
                <c:pt idx="110">
                  <c:v>97.211571742573753</c:v>
                </c:pt>
                <c:pt idx="111">
                  <c:v>97.201195703828802</c:v>
                </c:pt>
                <c:pt idx="112">
                  <c:v>97.19086072794012</c:v>
                </c:pt>
                <c:pt idx="113">
                  <c:v>97.180567123878376</c:v>
                </c:pt>
                <c:pt idx="114">
                  <c:v>97.170315167840698</c:v>
                </c:pt>
                <c:pt idx="115">
                  <c:v>97.160105104941834</c:v>
                </c:pt>
                <c:pt idx="116">
                  <c:v>97.149937150823718</c:v>
                </c:pt>
                <c:pt idx="117">
                  <c:v>97.139811493187423</c:v>
                </c:pt>
                <c:pt idx="118">
                  <c:v>97.129728293251162</c:v>
                </c:pt>
                <c:pt idx="119">
                  <c:v>97.119687687138111</c:v>
                </c:pt>
                <c:pt idx="120">
                  <c:v>97.10968978719724</c:v>
                </c:pt>
                <c:pt idx="121">
                  <c:v>97.099734683260394</c:v>
                </c:pt>
                <c:pt idx="122">
                  <c:v>97.089822443839026</c:v>
                </c:pt>
                <c:pt idx="123">
                  <c:v>97.079953117262889</c:v>
                </c:pt>
                <c:pt idx="124">
                  <c:v>97.070126732764123</c:v>
                </c:pt>
                <c:pt idx="125">
                  <c:v>97.060343301509093</c:v>
                </c:pt>
                <c:pt idx="126">
                  <c:v>97.050602817580284</c:v>
                </c:pt>
                <c:pt idx="127">
                  <c:v>97.040905258911152</c:v>
                </c:pt>
                <c:pt idx="128">
                  <c:v>97.031250588175865</c:v>
                </c:pt>
                <c:pt idx="129">
                  <c:v>97.021638753636068</c:v>
                </c:pt>
                <c:pt idx="130">
                  <c:v>97.012069689947083</c:v>
                </c:pt>
                <c:pt idx="131">
                  <c:v>97.002543318925007</c:v>
                </c:pt>
                <c:pt idx="132">
                  <c:v>96.993059550277167</c:v>
                </c:pt>
                <c:pt idx="133">
                  <c:v>96.983618282297073</c:v>
                </c:pt>
                <c:pt idx="134">
                  <c:v>96.974219402526117</c:v>
                </c:pt>
                <c:pt idx="135">
                  <c:v>96.964862788383272</c:v>
                </c:pt>
                <c:pt idx="136">
                  <c:v>96.955548307764502</c:v>
                </c:pt>
                <c:pt idx="137">
                  <c:v>96.946275819613064</c:v>
                </c:pt>
                <c:pt idx="138">
                  <c:v>96.937045174462597</c:v>
                </c:pt>
                <c:pt idx="139">
                  <c:v>96.927856214953749</c:v>
                </c:pt>
                <c:pt idx="140">
                  <c:v>96.918708776325971</c:v>
                </c:pt>
                <c:pt idx="141">
                  <c:v>96.909602686885393</c:v>
                </c:pt>
                <c:pt idx="142">
                  <c:v>96.900537768450263</c:v>
                </c:pt>
                <c:pt idx="143">
                  <c:v>96.891513836774635</c:v>
                </c:pt>
                <c:pt idx="144">
                  <c:v>96.88253070195158</c:v>
                </c:pt>
                <c:pt idx="145">
                  <c:v>96.873588168796829</c:v>
                </c:pt>
                <c:pt idx="146">
                  <c:v>96.864686037213772</c:v>
                </c:pt>
                <c:pt idx="147">
                  <c:v>96.855824102540652</c:v>
                </c:pt>
                <c:pt idx="148">
                  <c:v>96.847002155880858</c:v>
                </c:pt>
                <c:pt idx="149">
                  <c:v>96.838219984417094</c:v>
                </c:pt>
                <c:pt idx="150">
                  <c:v>96.829477371710169</c:v>
                </c:pt>
                <c:pt idx="151">
                  <c:v>96.820774097983161</c:v>
                </c:pt>
                <c:pt idx="152">
                  <c:v>96.812109940391508</c:v>
                </c:pt>
                <c:pt idx="153">
                  <c:v>96.803484673279996</c:v>
                </c:pt>
                <c:pt idx="154">
                  <c:v>96.794898068426846</c:v>
                </c:pt>
                <c:pt idx="155">
                  <c:v>96.786349895275933</c:v>
                </c:pt>
                <c:pt idx="156">
                  <c:v>96.777839921157266</c:v>
                </c:pt>
                <c:pt idx="157">
                  <c:v>96.769367911496659</c:v>
                </c:pt>
                <c:pt idx="158">
                  <c:v>96.760933630014804</c:v>
                </c:pt>
                <c:pt idx="159">
                  <c:v>96.752536838916441</c:v>
                </c:pt>
                <c:pt idx="160">
                  <c:v>96.744177299069989</c:v>
                </c:pt>
                <c:pt idx="161">
                  <c:v>96.735854770178094</c:v>
                </c:pt>
                <c:pt idx="162">
                  <c:v>96.727569010939519</c:v>
                </c:pt>
                <c:pt idx="163">
                  <c:v>96.719319779202806</c:v>
                </c:pt>
                <c:pt idx="164">
                  <c:v>96.711106832112051</c:v>
                </c:pt>
                <c:pt idx="165">
                  <c:v>96.702929926245147</c:v>
                </c:pt>
                <c:pt idx="166">
                  <c:v>96.694788817745035</c:v>
                </c:pt>
                <c:pt idx="167">
                  <c:v>96.686683262443864</c:v>
                </c:pt>
                <c:pt idx="168">
                  <c:v>96.678613015980858</c:v>
                </c:pt>
                <c:pt idx="169">
                  <c:v>96.670577833913924</c:v>
                </c:pt>
                <c:pt idx="170">
                  <c:v>96.662577471825315</c:v>
                </c:pt>
                <c:pt idx="171">
                  <c:v>96.654611685421699</c:v>
                </c:pt>
                <c:pt idx="172">
                  <c:v>96.646680230628746</c:v>
                </c:pt>
                <c:pt idx="173">
                  <c:v>96.638782863680746</c:v>
                </c:pt>
                <c:pt idx="174">
                  <c:v>96.630919341205242</c:v>
                </c:pt>
                <c:pt idx="175">
                  <c:v>96.623089420302847</c:v>
                </c:pt>
                <c:pt idx="176">
                  <c:v>96.615292858623008</c:v>
                </c:pt>
                <c:pt idx="177">
                  <c:v>96.607529414435035</c:v>
                </c:pt>
                <c:pt idx="178">
                  <c:v>96.599798846695549</c:v>
                </c:pt>
                <c:pt idx="179">
                  <c:v>96.592100915111672</c:v>
                </c:pt>
                <c:pt idx="180">
                  <c:v>96.58443538020083</c:v>
                </c:pt>
                <c:pt idx="181">
                  <c:v>96.576802003346813</c:v>
                </c:pt>
                <c:pt idx="182">
                  <c:v>96.569200546852812</c:v>
                </c:pt>
                <c:pt idx="183">
                  <c:v>96.5616307739908</c:v>
                </c:pt>
                <c:pt idx="184">
                  <c:v>96.554092449048369</c:v>
                </c:pt>
                <c:pt idx="185">
                  <c:v>96.546585337372264</c:v>
                </c:pt>
                <c:pt idx="186">
                  <c:v>96.539109205409389</c:v>
                </c:pt>
                <c:pt idx="187">
                  <c:v>96.531663820745152</c:v>
                </c:pt>
                <c:pt idx="188">
                  <c:v>96.524248952139118</c:v>
                </c:pt>
                <c:pt idx="189">
                  <c:v>96.51686436955859</c:v>
                </c:pt>
                <c:pt idx="190">
                  <c:v>96.509509844209532</c:v>
                </c:pt>
                <c:pt idx="191">
                  <c:v>96.50218514856563</c:v>
                </c:pt>
                <c:pt idx="192">
                  <c:v>96.494890056395192</c:v>
                </c:pt>
                <c:pt idx="193">
                  <c:v>96.487624342785907</c:v>
                </c:pt>
                <c:pt idx="194">
                  <c:v>96.480387784167945</c:v>
                </c:pt>
                <c:pt idx="195">
                  <c:v>96.473180158335197</c:v>
                </c:pt>
                <c:pt idx="196">
                  <c:v>96.466001244464735</c:v>
                </c:pt>
                <c:pt idx="197">
                  <c:v>96.458850823134767</c:v>
                </c:pt>
                <c:pt idx="198">
                  <c:v>96.451728676340949</c:v>
                </c:pt>
                <c:pt idx="199">
                  <c:v>96.444634587511246</c:v>
                </c:pt>
                <c:pt idx="200">
                  <c:v>96.437568341519452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1-4995-8D1B-32BA3094C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45856"/>
        <c:axId val="157947776"/>
      </c:lineChart>
      <c:lineChart>
        <c:grouping val="standard"/>
        <c:varyColors val="0"/>
        <c:ser>
          <c:idx val="3"/>
          <c:order val="1"/>
          <c:tx>
            <c:v>Inductor Loss</c:v>
          </c:tx>
          <c:spPr>
            <a:ln w="38100">
              <a:solidFill>
                <a:srgbClr val="800080"/>
              </a:solidFill>
              <a:prstDash val="dash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cat>
          <c:val>
            <c:numRef>
              <c:f>'Efficiency vs VIN Calculations'!$BI$9:$BI$209</c:f>
              <c:numCache>
                <c:formatCode>0.000</c:formatCode>
                <c:ptCount val="201"/>
                <c:pt idx="0">
                  <c:v>3.0648058849506987</c:v>
                </c:pt>
                <c:pt idx="1">
                  <c:v>2.8918497754071368</c:v>
                </c:pt>
                <c:pt idx="2">
                  <c:v>2.7341936482534623</c:v>
                </c:pt>
                <c:pt idx="3">
                  <c:v>2.5899237440072804</c:v>
                </c:pt>
                <c:pt idx="4">
                  <c:v>2.4574215398868562</c:v>
                </c:pt>
                <c:pt idx="5">
                  <c:v>2.3353100982119734</c:v>
                </c:pt>
                <c:pt idx="6">
                  <c:v>2.2224117222561799</c:v>
                </c:pt>
                <c:pt idx="7">
                  <c:v>2.1177142356148293</c:v>
                </c:pt>
                <c:pt idx="8">
                  <c:v>2.0203439046272269</c:v>
                </c:pt>
                <c:pt idx="9">
                  <c:v>1.929543526052018</c:v>
                </c:pt>
                <c:pt idx="10">
                  <c:v>1.8446545657663853</c:v>
                </c:pt>
                <c:pt idx="11">
                  <c:v>1.7651025002190559</c:v>
                </c:pt>
                <c:pt idx="12">
                  <c:v>1.6903847089803183</c:v>
                </c:pt>
                <c:pt idx="13">
                  <c:v>1.6200604135147934</c:v>
                </c:pt>
                <c:pt idx="14">
                  <c:v>1.5537422678937312</c:v>
                </c:pt>
                <c:pt idx="15">
                  <c:v>1.4910892912040992</c:v>
                </c:pt>
                <c:pt idx="16">
                  <c:v>1.431800895789958</c:v>
                </c:pt>
                <c:pt idx="17">
                  <c:v>1.3756118151476644</c:v>
                </c:pt>
                <c:pt idx="18">
                  <c:v>1.3222877739104029</c:v>
                </c:pt>
                <c:pt idx="19">
                  <c:v>1.2716217725587304</c:v>
                </c:pt>
                <c:pt idx="20">
                  <c:v>1.2234308832513225</c:v>
                </c:pt>
                <c:pt idx="21">
                  <c:v>1.1775534719520857</c:v>
                </c:pt>
                <c:pt idx="22">
                  <c:v>1.1338467769374547</c:v>
                </c:pt>
                <c:pt idx="23">
                  <c:v>1.0921847856296463</c:v>
                </c:pt>
                <c:pt idx="24">
                  <c:v>1.0524563611420599</c:v>
                </c:pt>
                <c:pt idx="25">
                  <c:v>1.0145635774086017</c:v>
                </c:pt>
                <c:pt idx="26">
                  <c:v>0.97842022764149428</c:v>
                </c:pt>
                <c:pt idx="27">
                  <c:v>0.94395047535944254</c:v>
                </c:pt>
                <c:pt idx="28">
                  <c:v>0.91108762049055581</c:v>
                </c:pt>
                <c:pt idx="29">
                  <c:v>0.87977295512086218</c:v>
                </c:pt>
                <c:pt idx="30">
                  <c:v>0.8499546842405945</c:v>
                </c:pt>
                <c:pt idx="31">
                  <c:v>0.82158688605904984</c:v>
                </c:pt>
                <c:pt idx="32">
                  <c:v>0.79462848352041149</c:v>
                </c:pt>
                <c:pt idx="33">
                  <c:v>0.7690421923711559</c:v>
                </c:pt>
                <c:pt idx="34">
                  <c:v>0.71423529181416967</c:v>
                </c:pt>
                <c:pt idx="35">
                  <c:v>0.68081314318913111</c:v>
                </c:pt>
                <c:pt idx="36">
                  <c:v>0.64978854844013045</c:v>
                </c:pt>
                <c:pt idx="37">
                  <c:v>0.62123814694075019</c:v>
                </c:pt>
                <c:pt idx="38">
                  <c:v>0.59522475618033521</c:v>
                </c:pt>
                <c:pt idx="39">
                  <c:v>0.57179117719495431</c:v>
                </c:pt>
                <c:pt idx="40">
                  <c:v>0.54335690151402738</c:v>
                </c:pt>
                <c:pt idx="41">
                  <c:v>0.54338597338819228</c:v>
                </c:pt>
                <c:pt idx="42">
                  <c:v>0.54430230992257644</c:v>
                </c:pt>
                <c:pt idx="43">
                  <c:v>0.54682796909280851</c:v>
                </c:pt>
                <c:pt idx="44">
                  <c:v>0.55115131091971614</c:v>
                </c:pt>
                <c:pt idx="45">
                  <c:v>0.55734497865151844</c:v>
                </c:pt>
                <c:pt idx="46">
                  <c:v>0.56542645227699395</c:v>
                </c:pt>
                <c:pt idx="47">
                  <c:v>0.57538112228357008</c:v>
                </c:pt>
                <c:pt idx="48">
                  <c:v>0.5871741692713256</c:v>
                </c:pt>
                <c:pt idx="49">
                  <c:v>0.60075759912246773</c:v>
                </c:pt>
                <c:pt idx="50">
                  <c:v>0.61607476431329311</c:v>
                </c:pt>
                <c:pt idx="51">
                  <c:v>0.52210964037735674</c:v>
                </c:pt>
                <c:pt idx="52">
                  <c:v>0.52632696988817029</c:v>
                </c:pt>
                <c:pt idx="53">
                  <c:v>0.53089342952094543</c:v>
                </c:pt>
                <c:pt idx="54">
                  <c:v>0.53579357675840944</c:v>
                </c:pt>
                <c:pt idx="55">
                  <c:v>0.54101197733159678</c:v>
                </c:pt>
                <c:pt idx="56">
                  <c:v>0.54653334409021992</c:v>
                </c:pt>
                <c:pt idx="57">
                  <c:v>0.55234263967552233</c:v>
                </c:pt>
                <c:pt idx="58">
                  <c:v>0.55842515191612097</c:v>
                </c:pt>
                <c:pt idx="59">
                  <c:v>0.56476654843119067</c:v>
                </c:pt>
                <c:pt idx="60">
                  <c:v>0.57135291524418375</c:v>
                </c:pt>
                <c:pt idx="61">
                  <c:v>0.57817078302151348</c:v>
                </c:pt>
                <c:pt idx="62">
                  <c:v>0.58520714369228533</c:v>
                </c:pt>
                <c:pt idx="63">
                  <c:v>0.59244945957414918</c:v>
                </c:pt>
                <c:pt idx="64">
                  <c:v>0.59988566665914878</c:v>
                </c:pt>
                <c:pt idx="65">
                  <c:v>0.60750417335679496</c:v>
                </c:pt>
                <c:pt idx="66">
                  <c:v>0.61529385571842266</c:v>
                </c:pt>
                <c:pt idx="67">
                  <c:v>0.62324404995549387</c:v>
                </c:pt>
                <c:pt idx="68">
                  <c:v>0.631344542899414</c:v>
                </c:pt>
                <c:pt idx="69">
                  <c:v>0.63958556092049401</c:v>
                </c:pt>
                <c:pt idx="70">
                  <c:v>0.64795775772068465</c:v>
                </c:pt>
                <c:pt idx="71">
                  <c:v>0.65645220133258908</c:v>
                </c:pt>
                <c:pt idx="72">
                  <c:v>0.66506036059141649</c:v>
                </c:pt>
                <c:pt idx="73">
                  <c:v>0.67377409129353905</c:v>
                </c:pt>
                <c:pt idx="74">
                  <c:v>0.68258562221245356</c:v>
                </c:pt>
                <c:pt idx="75">
                  <c:v>0.69148754110820598</c:v>
                </c:pt>
                <c:pt idx="76">
                  <c:v>0.70047278083808595</c:v>
                </c:pt>
                <c:pt idx="77">
                  <c:v>0.70953460565337167</c:v>
                </c:pt>
                <c:pt idx="78">
                  <c:v>0.71866659774813835</c:v>
                </c:pt>
                <c:pt idx="79">
                  <c:v>0.72786264411079171</c:v>
                </c:pt>
                <c:pt idx="80">
                  <c:v>0.73711692371647097</c:v>
                </c:pt>
                <c:pt idx="81">
                  <c:v>0.74642389508822737</c:v>
                </c:pt>
                <c:pt idx="82">
                  <c:v>0.75577828424653259</c:v>
                </c:pt>
                <c:pt idx="83">
                  <c:v>0.76517507305989452</c:v>
                </c:pt>
                <c:pt idx="84">
                  <c:v>0.77460948800380658</c:v>
                </c:pt>
                <c:pt idx="85">
                  <c:v>0.78407698933082226</c:v>
                </c:pt>
                <c:pt idx="86">
                  <c:v>0.7935732606509267</c:v>
                </c:pt>
                <c:pt idx="87">
                  <c:v>0.80309419891850964</c:v>
                </c:pt>
                <c:pt idx="88">
                  <c:v>0.8126359048199624</c:v>
                </c:pt>
                <c:pt idx="89">
                  <c:v>0.82219467355413556</c:v>
                </c:pt>
                <c:pt idx="90">
                  <c:v>0.83176698599650778</c:v>
                </c:pt>
                <c:pt idx="91">
                  <c:v>0.84134950023687494</c:v>
                </c:pt>
                <c:pt idx="92">
                  <c:v>0.85093904347960114</c:v>
                </c:pt>
                <c:pt idx="93">
                  <c:v>0.86053260429494016</c:v>
                </c:pt>
                <c:pt idx="94">
                  <c:v>0.87012732520957947</c:v>
                </c:pt>
                <c:pt idx="95">
                  <c:v>0.87972049562437471</c:v>
                </c:pt>
                <c:pt idx="96">
                  <c:v>0.88930954504715021</c:v>
                </c:pt>
                <c:pt idx="97">
                  <c:v>0.89889203662851647</c:v>
                </c:pt>
                <c:pt idx="98">
                  <c:v>0.90846566098870762</c:v>
                </c:pt>
                <c:pt idx="99">
                  <c:v>0.91802823032369296</c:v>
                </c:pt>
                <c:pt idx="100">
                  <c:v>0.92757767277898195</c:v>
                </c:pt>
                <c:pt idx="101">
                  <c:v>0.93711202707986041</c:v>
                </c:pt>
                <c:pt idx="102">
                  <c:v>0.94662943740707184</c:v>
                </c:pt>
                <c:pt idx="103">
                  <c:v>0.95612814850729766</c:v>
                </c:pt>
                <c:pt idx="104">
                  <c:v>0.96560650102811141</c:v>
                </c:pt>
                <c:pt idx="105">
                  <c:v>0.9750629270674569</c:v>
                </c:pt>
                <c:pt idx="106">
                  <c:v>0.98449594592803724</c:v>
                </c:pt>
                <c:pt idx="107">
                  <c:v>0.99390416006736071</c:v>
                </c:pt>
                <c:pt idx="108">
                  <c:v>1.0032862512345715</c:v>
                </c:pt>
                <c:pt idx="109">
                  <c:v>1.0126409767855042</c:v>
                </c:pt>
                <c:pt idx="110">
                  <c:v>1.0219671661678058</c:v>
                </c:pt>
                <c:pt idx="111">
                  <c:v>1.0312637175682482</c:v>
                </c:pt>
                <c:pt idx="112">
                  <c:v>1.040529594714751</c:v>
                </c:pt>
                <c:pt idx="113">
                  <c:v>1.0497638238259173</c:v>
                </c:pt>
                <c:pt idx="114">
                  <c:v>1.0589654907012087</c:v>
                </c:pt>
                <c:pt idx="115">
                  <c:v>1.0681337379452154</c:v>
                </c:pt>
                <c:pt idx="116">
                  <c:v>1.0772677623197391</c:v>
                </c:pt>
                <c:pt idx="117">
                  <c:v>1.0863668122177161</c:v>
                </c:pt>
                <c:pt idx="118">
                  <c:v>1.0954301852532744</c:v>
                </c:pt>
                <c:pt idx="119">
                  <c:v>1.1044572259624688</c:v>
                </c:pt>
                <c:pt idx="120">
                  <c:v>1.1134473236095257</c:v>
                </c:pt>
                <c:pt idx="121">
                  <c:v>1.1223999100936317</c:v>
                </c:pt>
                <c:pt idx="122">
                  <c:v>1.1313144579515479</c:v>
                </c:pt>
                <c:pt idx="123">
                  <c:v>1.1401904784515824</c:v>
                </c:pt>
                <c:pt idx="124">
                  <c:v>1.1490275197746067</c:v>
                </c:pt>
                <c:pt idx="125">
                  <c:v>1.1578251652780591</c:v>
                </c:pt>
                <c:pt idx="126">
                  <c:v>1.1665830318390533</c:v>
                </c:pt>
                <c:pt idx="127">
                  <c:v>1.175300768272876</c:v>
                </c:pt>
                <c:pt idx="128">
                  <c:v>1.1839780538233671</c:v>
                </c:pt>
                <c:pt idx="129">
                  <c:v>1.1926145967218291</c:v>
                </c:pt>
                <c:pt idx="130">
                  <c:v>1.2012101328112528</c:v>
                </c:pt>
                <c:pt idx="131">
                  <c:v>1.2097644242328491</c:v>
                </c:pt>
                <c:pt idx="132">
                  <c:v>1.2182772581719621</c:v>
                </c:pt>
                <c:pt idx="133">
                  <c:v>1.2267484456606299</c:v>
                </c:pt>
                <c:pt idx="134">
                  <c:v>1.235177820434155</c:v>
                </c:pt>
                <c:pt idx="135">
                  <c:v>1.2435652378391893</c:v>
                </c:pt>
                <c:pt idx="136">
                  <c:v>1.2519105737909624</c:v>
                </c:pt>
                <c:pt idx="137">
                  <c:v>1.260213723777369</c:v>
                </c:pt>
                <c:pt idx="138">
                  <c:v>1.2684746019077802</c:v>
                </c:pt>
                <c:pt idx="139">
                  <c:v>1.2766931400045147</c:v>
                </c:pt>
                <c:pt idx="140">
                  <c:v>1.2848692867350002</c:v>
                </c:pt>
                <c:pt idx="141">
                  <c:v>1.2930030067827945</c:v>
                </c:pt>
                <c:pt idx="142">
                  <c:v>1.3010942800556564</c:v>
                </c:pt>
                <c:pt idx="143">
                  <c:v>1.3091431009290013</c:v>
                </c:pt>
                <c:pt idx="144">
                  <c:v>1.3171494775231203</c:v>
                </c:pt>
                <c:pt idx="145">
                  <c:v>1.3251134310126287</c:v>
                </c:pt>
                <c:pt idx="146">
                  <c:v>1.3330349949666895</c:v>
                </c:pt>
                <c:pt idx="147">
                  <c:v>1.3409142147186168</c:v>
                </c:pt>
                <c:pt idx="148">
                  <c:v>1.3487511467635214</c:v>
                </c:pt>
                <c:pt idx="149">
                  <c:v>1.3565458581827587</c:v>
                </c:pt>
                <c:pt idx="150">
                  <c:v>1.3642984260939466</c:v>
                </c:pt>
                <c:pt idx="151">
                  <c:v>1.3720089371254276</c:v>
                </c:pt>
                <c:pt idx="152">
                  <c:v>1.3796774869140611</c:v>
                </c:pt>
                <c:pt idx="153">
                  <c:v>1.387304179625322</c:v>
                </c:pt>
                <c:pt idx="154">
                  <c:v>1.39488912749469</c:v>
                </c:pt>
                <c:pt idx="155">
                  <c:v>1.4024324503894006</c:v>
                </c:pt>
                <c:pt idx="156">
                  <c:v>1.409934275389634</c:v>
                </c:pt>
                <c:pt idx="157">
                  <c:v>1.4173947363882959</c:v>
                </c:pt>
                <c:pt idx="158">
                  <c:v>1.4248139737085554</c:v>
                </c:pt>
                <c:pt idx="159">
                  <c:v>1.4321921337383601</c:v>
                </c:pt>
                <c:pt idx="160">
                  <c:v>1.4395293685811761</c:v>
                </c:pt>
                <c:pt idx="161">
                  <c:v>1.4468258357222425</c:v>
                </c:pt>
                <c:pt idx="162">
                  <c:v>1.4540816977096565</c:v>
                </c:pt>
                <c:pt idx="163">
                  <c:v>1.4612971218496318</c:v>
                </c:pt>
                <c:pt idx="164">
                  <c:v>1.4684722799153227</c:v>
                </c:pt>
                <c:pt idx="165">
                  <c:v>1.4756073478686098</c:v>
                </c:pt>
                <c:pt idx="166">
                  <c:v>1.4827025055942769</c:v>
                </c:pt>
                <c:pt idx="167">
                  <c:v>1.4897579366460643</c:v>
                </c:pt>
                <c:pt idx="168">
                  <c:v>1.4967738280040446</c:v>
                </c:pt>
                <c:pt idx="169">
                  <c:v>1.5037503698428552</c:v>
                </c:pt>
                <c:pt idx="170">
                  <c:v>1.5106877553103173</c:v>
                </c:pt>
                <c:pt idx="171">
                  <c:v>1.5175861803159749</c:v>
                </c:pt>
                <c:pt idx="172">
                  <c:v>1.5244458433291257</c:v>
                </c:pt>
                <c:pt idx="173">
                  <c:v>1.5312669451859655</c:v>
                </c:pt>
                <c:pt idx="174">
                  <c:v>1.5380496889054056</c:v>
                </c:pt>
                <c:pt idx="175">
                  <c:v>1.5447942795132246</c:v>
                </c:pt>
                <c:pt idx="176">
                  <c:v>1.5515009238741799</c:v>
                </c:pt>
                <c:pt idx="177">
                  <c:v>1.5581698305317486</c:v>
                </c:pt>
                <c:pt idx="178">
                  <c:v>1.5648012095551567</c:v>
                </c:pt>
                <c:pt idx="179">
                  <c:v>1.5713952723933913</c:v>
                </c:pt>
                <c:pt idx="180">
                  <c:v>1.5779522317358989</c:v>
                </c:pt>
                <c:pt idx="181">
                  <c:v>1.5844723013796882</c:v>
                </c:pt>
                <c:pt idx="182">
                  <c:v>1.5909556961025393</c:v>
                </c:pt>
                <c:pt idx="183">
                  <c:v>1.5974026315420993</c:v>
                </c:pt>
                <c:pt idx="184">
                  <c:v>1.6038133240805685</c:v>
                </c:pt>
                <c:pt idx="185">
                  <c:v>1.6101879907347825</c:v>
                </c:pt>
                <c:pt idx="186">
                  <c:v>1.6165268490514206</c:v>
                </c:pt>
                <c:pt idx="187">
                  <c:v>1.6228301170071542</c:v>
                </c:pt>
                <c:pt idx="188">
                  <c:v>1.6290980129135106</c:v>
                </c:pt>
                <c:pt idx="189">
                  <c:v>1.6353307553262426</c:v>
                </c:pt>
                <c:pt idx="190">
                  <c:v>1.6415285629590384</c:v>
                </c:pt>
                <c:pt idx="191">
                  <c:v>1.6476916546013691</c:v>
                </c:pt>
                <c:pt idx="192">
                  <c:v>1.6538202490402902</c:v>
                </c:pt>
                <c:pt idx="193">
                  <c:v>1.6599145649860654</c:v>
                </c:pt>
                <c:pt idx="194">
                  <c:v>1.6659748210013976</c:v>
                </c:pt>
                <c:pt idx="195">
                  <c:v>1.6720012354341764</c:v>
                </c:pt>
                <c:pt idx="196">
                  <c:v>1.6779940263535251</c:v>
                </c:pt>
                <c:pt idx="197">
                  <c:v>1.6839534114890782</c:v>
                </c:pt>
                <c:pt idx="198">
                  <c:v>1.6898796081732881</c:v>
                </c:pt>
                <c:pt idx="199">
                  <c:v>1.6957728332866813</c:v>
                </c:pt>
                <c:pt idx="200">
                  <c:v>1.7016333032059072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01-4995-8D1B-32BA3094CE07}"/>
            </c:ext>
          </c:extLst>
        </c:ser>
        <c:ser>
          <c:idx val="2"/>
          <c:order val="2"/>
          <c:tx>
            <c:v>Total MOSFET Loss</c:v>
          </c:tx>
          <c:spPr>
            <a:ln w="38100">
              <a:solidFill>
                <a:srgbClr val="808000"/>
              </a:solidFill>
              <a:prstDash val="sysDash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cat>
          <c:val>
            <c:numRef>
              <c:f>'Efficiency vs VIN Calculations'!$BJ$9:$BJ$209</c:f>
              <c:numCache>
                <c:formatCode>0.000</c:formatCode>
                <c:ptCount val="201"/>
                <c:pt idx="0">
                  <c:v>24.066787304825333</c:v>
                </c:pt>
                <c:pt idx="1">
                  <c:v>19.409425694072063</c:v>
                </c:pt>
                <c:pt idx="2">
                  <c:v>16.286905768672021</c:v>
                </c:pt>
                <c:pt idx="3">
                  <c:v>14.041815355165092</c:v>
                </c:pt>
                <c:pt idx="4">
                  <c:v>12.346117447754951</c:v>
                </c:pt>
                <c:pt idx="5">
                  <c:v>11.017708593116831</c:v>
                </c:pt>
                <c:pt idx="6">
                  <c:v>9.9473101323195294</c:v>
                </c:pt>
                <c:pt idx="7">
                  <c:v>9.0653209266573818</c:v>
                </c:pt>
                <c:pt idx="8">
                  <c:v>8.3252731004500671</c:v>
                </c:pt>
                <c:pt idx="9">
                  <c:v>7.6949344376226732</c:v>
                </c:pt>
                <c:pt idx="10">
                  <c:v>7.1512279958157929</c:v>
                </c:pt>
                <c:pt idx="11">
                  <c:v>6.6771851372717173</c:v>
                </c:pt>
                <c:pt idx="12">
                  <c:v>6.2600413625123377</c:v>
                </c:pt>
                <c:pt idx="13">
                  <c:v>5.8900039813285803</c:v>
                </c:pt>
                <c:pt idx="14">
                  <c:v>5.5594302052906581</c:v>
                </c:pt>
                <c:pt idx="15">
                  <c:v>5.2622644173855671</c:v>
                </c:pt>
                <c:pt idx="16">
                  <c:v>4.9936439159917621</c:v>
                </c:pt>
                <c:pt idx="17">
                  <c:v>4.7496170014859995</c:v>
                </c:pt>
                <c:pt idx="18">
                  <c:v>4.5269376910055925</c:v>
                </c:pt>
                <c:pt idx="19">
                  <c:v>4.3229137696894551</c:v>
                </c:pt>
                <c:pt idx="20">
                  <c:v>4.1352926487723529</c:v>
                </c:pt>
                <c:pt idx="21">
                  <c:v>3.9621744677912467</c:v>
                </c:pt>
                <c:pt idx="22">
                  <c:v>3.8019451255553562</c:v>
                </c:pt>
                <c:pt idx="23">
                  <c:v>3.653224089560851</c:v>
                </c:pt>
                <c:pt idx="24">
                  <c:v>3.5148233028722045</c:v>
                </c:pt>
                <c:pt idx="25">
                  <c:v>3.385714521074461</c:v>
                </c:pt>
                <c:pt idx="26">
                  <c:v>3.2650031216437299</c:v>
                </c:pt>
                <c:pt idx="27">
                  <c:v>3.1519069319831594</c:v>
                </c:pt>
                <c:pt idx="28">
                  <c:v>3.0457389847324015</c:v>
                </c:pt>
                <c:pt idx="29">
                  <c:v>2.9458933726481789</c:v>
                </c:pt>
                <c:pt idx="30">
                  <c:v>2.8518335693721095</c:v>
                </c:pt>
                <c:pt idx="31">
                  <c:v>2.7630827266367604</c:v>
                </c:pt>
                <c:pt idx="32">
                  <c:v>2.6792155667254143</c:v>
                </c:pt>
                <c:pt idx="33">
                  <c:v>2.5998515710034411</c:v>
                </c:pt>
                <c:pt idx="34">
                  <c:v>2.2021569872438391</c:v>
                </c:pt>
                <c:pt idx="35">
                  <c:v>2.1480775650191704</c:v>
                </c:pt>
                <c:pt idx="36">
                  <c:v>2.0967014946864175</c:v>
                </c:pt>
                <c:pt idx="37">
                  <c:v>2.0478555155052112</c:v>
                </c:pt>
                <c:pt idx="38">
                  <c:v>2.0013819974166287</c:v>
                </c:pt>
                <c:pt idx="39">
                  <c:v>1.9571372979386774</c:v>
                </c:pt>
                <c:pt idx="40">
                  <c:v>1.9144883314274441</c:v>
                </c:pt>
                <c:pt idx="41">
                  <c:v>1.9103793306493979</c:v>
                </c:pt>
                <c:pt idx="42">
                  <c:v>1.9066112902156955</c:v>
                </c:pt>
                <c:pt idx="43">
                  <c:v>1.903188713221879</c:v>
                </c:pt>
                <c:pt idx="44">
                  <c:v>1.9000902125405721</c:v>
                </c:pt>
                <c:pt idx="45">
                  <c:v>1.8972960003948758</c:v>
                </c:pt>
                <c:pt idx="46">
                  <c:v>1.894787745408913</c:v>
                </c:pt>
                <c:pt idx="47">
                  <c:v>1.8925484445276441</c:v>
                </c:pt>
                <c:pt idx="48">
                  <c:v>1.8905623080482457</c:v>
                </c:pt>
                <c:pt idx="49">
                  <c:v>1.8888146562371195</c:v>
                </c:pt>
                <c:pt idx="50">
                  <c:v>1.8872918262047889</c:v>
                </c:pt>
                <c:pt idx="51">
                  <c:v>1.8597934546504489</c:v>
                </c:pt>
                <c:pt idx="52">
                  <c:v>1.8616540116603117</c:v>
                </c:pt>
                <c:pt idx="53">
                  <c:v>1.8636381954205441</c:v>
                </c:pt>
                <c:pt idx="54">
                  <c:v>1.8657393780242271</c:v>
                </c:pt>
                <c:pt idx="55">
                  <c:v>1.8679513398928758</c:v>
                </c:pt>
                <c:pt idx="56">
                  <c:v>1.8702682403888875</c:v>
                </c:pt>
                <c:pt idx="57">
                  <c:v>1.8726845908687764</c:v>
                </c:pt>
                <c:pt idx="58">
                  <c:v>1.8751952299469949</c:v>
                </c:pt>
                <c:pt idx="59">
                  <c:v>1.8777953007644423</c:v>
                </c:pt>
                <c:pt idx="60">
                  <c:v>1.8804802300771908</c:v>
                </c:pt>
                <c:pt idx="61">
                  <c:v>1.8832457089999799</c:v>
                </c:pt>
                <c:pt idx="62">
                  <c:v>1.8860876752558129</c:v>
                </c:pt>
                <c:pt idx="63">
                  <c:v>1.8890022967979725</c:v>
                </c:pt>
                <c:pt idx="64">
                  <c:v>1.891985956684022</c:v>
                </c:pt>
                <c:pt idx="65">
                  <c:v>1.8950352390931846</c:v>
                </c:pt>
                <c:pt idx="66">
                  <c:v>1.8981469163890492</c:v>
                </c:pt>
                <c:pt idx="67">
                  <c:v>1.9013179371389455</c:v>
                </c:pt>
                <c:pt idx="68">
                  <c:v>1.9045454150097421</c:v>
                </c:pt>
                <c:pt idx="69">
                  <c:v>1.9078266184673716</c:v>
                </c:pt>
                <c:pt idx="70">
                  <c:v>1.9111589612141104</c:v>
                </c:pt>
                <c:pt idx="71">
                  <c:v>1.9145399933037115</c:v>
                </c:pt>
                <c:pt idx="72">
                  <c:v>1.9179673928799281</c:v>
                </c:pt>
                <c:pt idx="73">
                  <c:v>1.9214389584888618</c:v>
                </c:pt>
                <c:pt idx="74">
                  <c:v>1.9249526019199781</c:v>
                </c:pt>
                <c:pt idx="75">
                  <c:v>1.928506341534602</c:v>
                </c:pt>
                <c:pt idx="76">
                  <c:v>1.9320982960443061</c:v>
                </c:pt>
                <c:pt idx="77">
                  <c:v>1.9357266787048313</c:v>
                </c:pt>
                <c:pt idx="78">
                  <c:v>1.9393897918941343</c:v>
                </c:pt>
                <c:pt idx="79">
                  <c:v>1.943086022045786</c:v>
                </c:pt>
                <c:pt idx="80">
                  <c:v>1.9468138349113844</c:v>
                </c:pt>
                <c:pt idx="81">
                  <c:v>1.9505717711277994</c:v>
                </c:pt>
                <c:pt idx="82">
                  <c:v>1.9543584420670719</c:v>
                </c:pt>
                <c:pt idx="83">
                  <c:v>1.9581725259485991</c:v>
                </c:pt>
                <c:pt idx="84">
                  <c:v>1.9620127641948468</c:v>
                </c:pt>
                <c:pt idx="85">
                  <c:v>1.9658779580133758</c:v>
                </c:pt>
                <c:pt idx="86">
                  <c:v>1.9697669651892915</c:v>
                </c:pt>
                <c:pt idx="87">
                  <c:v>1.973678697073479</c:v>
                </c:pt>
                <c:pt idx="88">
                  <c:v>1.9776121157531483</c:v>
                </c:pt>
                <c:pt idx="89">
                  <c:v>1.9815662313922175</c:v>
                </c:pt>
                <c:pt idx="90">
                  <c:v>1.9855400997300376</c:v>
                </c:pt>
                <c:pt idx="91">
                  <c:v>1.9895328197278221</c:v>
                </c:pt>
                <c:pt idx="92">
                  <c:v>1.9935435313529426</c:v>
                </c:pt>
                <c:pt idx="93">
                  <c:v>1.9975714134919889</c:v>
                </c:pt>
                <c:pt idx="94">
                  <c:v>2.0016156819841551</c:v>
                </c:pt>
                <c:pt idx="95">
                  <c:v>2.0056755877671457</c:v>
                </c:pt>
                <c:pt idx="96">
                  <c:v>2.0097504151283285</c:v>
                </c:pt>
                <c:pt idx="97">
                  <c:v>2.0138394800544317</c:v>
                </c:pt>
                <c:pt idx="98">
                  <c:v>2.0179421286735204</c:v>
                </c:pt>
                <c:pt idx="99">
                  <c:v>2.0220577357834451</c:v>
                </c:pt>
                <c:pt idx="100">
                  <c:v>2.0261857034613717</c:v>
                </c:pt>
                <c:pt idx="101">
                  <c:v>2.0303254597493621</c:v>
                </c:pt>
                <c:pt idx="102">
                  <c:v>2.0344764574113334</c:v>
                </c:pt>
                <c:pt idx="103">
                  <c:v>2.0386381727570377</c:v>
                </c:pt>
                <c:pt idx="104">
                  <c:v>2.0428101045289977</c:v>
                </c:pt>
                <c:pt idx="105">
                  <c:v>2.046991772848632</c:v>
                </c:pt>
                <c:pt idx="106">
                  <c:v>2.0511827182180085</c:v>
                </c:pt>
                <c:pt idx="107">
                  <c:v>2.0553825005739532</c:v>
                </c:pt>
                <c:pt idx="108">
                  <c:v>2.0595906983914301</c:v>
                </c:pt>
                <c:pt idx="109">
                  <c:v>2.0638069078332988</c:v>
                </c:pt>
                <c:pt idx="110">
                  <c:v>2.0680307419437858</c:v>
                </c:pt>
                <c:pt idx="111">
                  <c:v>2.0722618298831268</c:v>
                </c:pt>
                <c:pt idx="112">
                  <c:v>2.0764998162010402</c:v>
                </c:pt>
                <c:pt idx="113">
                  <c:v>2.0807443601468223</c:v>
                </c:pt>
                <c:pt idx="114">
                  <c:v>2.0849951350139966</c:v>
                </c:pt>
                <c:pt idx="115">
                  <c:v>2.0892518275175807</c:v>
                </c:pt>
                <c:pt idx="116">
                  <c:v>2.0935141372021562</c:v>
                </c:pt>
                <c:pt idx="117">
                  <c:v>2.0977817758790374</c:v>
                </c:pt>
                <c:pt idx="118">
                  <c:v>2.1020544670909418</c:v>
                </c:pt>
                <c:pt idx="119">
                  <c:v>2.1063319456026552</c:v>
                </c:pt>
                <c:pt idx="120">
                  <c:v>2.1106139569162909</c:v>
                </c:pt>
                <c:pt idx="121">
                  <c:v>2.1149002568098099</c:v>
                </c:pt>
                <c:pt idx="122">
                  <c:v>2.1191906108975589</c:v>
                </c:pt>
                <c:pt idx="123">
                  <c:v>2.1234847942116546</c:v>
                </c:pt>
                <c:pt idx="124">
                  <c:v>2.1277825908031134</c:v>
                </c:pt>
                <c:pt idx="125">
                  <c:v>2.132083793361685</c:v>
                </c:pt>
                <c:pt idx="126">
                  <c:v>2.1363882028534125</c:v>
                </c:pt>
                <c:pt idx="127">
                  <c:v>2.140695628175008</c:v>
                </c:pt>
                <c:pt idx="128">
                  <c:v>2.1450058858241592</c:v>
                </c:pt>
                <c:pt idx="129">
                  <c:v>2.1493187995849636</c:v>
                </c:pt>
                <c:pt idx="130">
                  <c:v>2.1536342002277116</c:v>
                </c:pt>
                <c:pt idx="131">
                  <c:v>2.1579519252222967</c:v>
                </c:pt>
                <c:pt idx="132">
                  <c:v>2.1622718184645549</c:v>
                </c:pt>
                <c:pt idx="133">
                  <c:v>2.1665937300148976</c:v>
                </c:pt>
                <c:pt idx="134">
                  <c:v>2.1709175158486147</c:v>
                </c:pt>
                <c:pt idx="135">
                  <c:v>2.1752430376172818</c:v>
                </c:pt>
                <c:pt idx="136">
                  <c:v>2.1795701624207071</c:v>
                </c:pt>
                <c:pt idx="137">
                  <c:v>2.1838987625889152</c:v>
                </c:pt>
                <c:pt idx="138">
                  <c:v>2.1882287154736781</c:v>
                </c:pt>
                <c:pt idx="139">
                  <c:v>2.1925599032491188</c:v>
                </c:pt>
                <c:pt idx="140">
                  <c:v>2.1968922127209591</c:v>
                </c:pt>
                <c:pt idx="141">
                  <c:v>2.2012255351440042</c:v>
                </c:pt>
                <c:pt idx="142">
                  <c:v>2.2055597660474522</c:v>
                </c:pt>
                <c:pt idx="143">
                  <c:v>2.2098948050676652</c:v>
                </c:pt>
                <c:pt idx="144">
                  <c:v>2.2142305557880695</c:v>
                </c:pt>
                <c:pt idx="145">
                  <c:v>2.2185669255858094</c:v>
                </c:pt>
                <c:pt idx="146">
                  <c:v>2.2229038254848779</c:v>
                </c:pt>
                <c:pt idx="147">
                  <c:v>2.2272411700154011</c:v>
                </c:pt>
                <c:pt idx="148">
                  <c:v>2.2315788770787979</c:v>
                </c:pt>
                <c:pt idx="149">
                  <c:v>2.2359168678185481</c:v>
                </c:pt>
                <c:pt idx="150">
                  <c:v>2.2402550664963043</c:v>
                </c:pt>
                <c:pt idx="151">
                  <c:v>2.2445934003731076</c:v>
                </c:pt>
                <c:pt idx="152">
                  <c:v>2.2489317995954829</c:v>
                </c:pt>
                <c:pt idx="153">
                  <c:v>2.2532701970861799</c:v>
                </c:pt>
                <c:pt idx="154">
                  <c:v>2.2576085284393606</c:v>
                </c:pt>
                <c:pt idx="155">
                  <c:v>2.2619467318200313</c:v>
                </c:pt>
                <c:pt idx="156">
                  <c:v>2.2662847478675392</c:v>
                </c:pt>
                <c:pt idx="157">
                  <c:v>2.2706225196029299</c:v>
                </c:pt>
                <c:pt idx="158">
                  <c:v>2.2749599923400265</c:v>
                </c:pt>
                <c:pt idx="159">
                  <c:v>2.2792971136000433</c:v>
                </c:pt>
                <c:pt idx="160">
                  <c:v>2.2836338330295902</c:v>
                </c:pt>
                <c:pt idx="161">
                  <c:v>2.2879701023219225</c:v>
                </c:pt>
                <c:pt idx="162">
                  <c:v>2.2923058751412841</c:v>
                </c:pt>
                <c:pt idx="163">
                  <c:v>2.2966411070502266</c:v>
                </c:pt>
                <c:pt idx="164">
                  <c:v>2.3009757554397612</c:v>
                </c:pt>
                <c:pt idx="165">
                  <c:v>2.305309779462239</c:v>
                </c:pt>
                <c:pt idx="166">
                  <c:v>2.3096431399668216</c:v>
                </c:pt>
                <c:pt idx="167">
                  <c:v>2.313975799437459</c:v>
                </c:pt>
                <c:pt idx="168">
                  <c:v>2.3183077219332473</c:v>
                </c:pt>
                <c:pt idx="169">
                  <c:v>2.3226388730310736</c:v>
                </c:pt>
                <c:pt idx="170">
                  <c:v>2.3269692197704588</c:v>
                </c:pt>
                <c:pt idx="171">
                  <c:v>2.3312987306004986</c:v>
                </c:pt>
                <c:pt idx="172">
                  <c:v>2.335627375328817</c:v>
                </c:pt>
                <c:pt idx="173">
                  <c:v>2.3399551250724522</c:v>
                </c:pt>
                <c:pt idx="174">
                  <c:v>2.3442819522105967</c:v>
                </c:pt>
                <c:pt idx="175">
                  <c:v>2.3486078303391067</c:v>
                </c:pt>
                <c:pt idx="176">
                  <c:v>2.3529327342267226</c:v>
                </c:pt>
                <c:pt idx="177">
                  <c:v>2.3572566397729169</c:v>
                </c:pt>
                <c:pt idx="178">
                  <c:v>2.3615795239673152</c:v>
                </c:pt>
                <c:pt idx="179">
                  <c:v>2.3659013648506195</c:v>
                </c:pt>
                <c:pt idx="180">
                  <c:v>2.3702221414769737</c:v>
                </c:pt>
                <c:pt idx="181">
                  <c:v>2.3745418338777249</c:v>
                </c:pt>
                <c:pt idx="182">
                  <c:v>2.3788604230265031</c:v>
                </c:pt>
                <c:pt idx="183">
                  <c:v>2.3831778908055954</c:v>
                </c:pt>
                <c:pt idx="184">
                  <c:v>2.3874942199735294</c:v>
                </c:pt>
                <c:pt idx="185">
                  <c:v>2.3918093941338552</c:v>
                </c:pt>
                <c:pt idx="186">
                  <c:v>2.3961233977050482</c:v>
                </c:pt>
                <c:pt idx="187">
                  <c:v>2.4004362158915069</c:v>
                </c:pt>
                <c:pt idx="188">
                  <c:v>2.4047478346555966</c:v>
                </c:pt>
                <c:pt idx="189">
                  <c:v>2.4090582406906975</c:v>
                </c:pt>
                <c:pt idx="190">
                  <c:v>2.4133674213952236</c:v>
                </c:pt>
                <c:pt idx="191">
                  <c:v>2.4176753648475673</c:v>
                </c:pt>
                <c:pt idx="192">
                  <c:v>2.4219820597819419</c:v>
                </c:pt>
                <c:pt idx="193">
                  <c:v>2.4262874955650853</c:v>
                </c:pt>
                <c:pt idx="194">
                  <c:v>2.4305916621737822</c:v>
                </c:pt>
                <c:pt idx="195">
                  <c:v>2.4348945501731976</c:v>
                </c:pt>
                <c:pt idx="196">
                  <c:v>2.4391961506959632</c:v>
                </c:pt>
                <c:pt idx="197">
                  <c:v>2.4434964554220011</c:v>
                </c:pt>
                <c:pt idx="198">
                  <c:v>2.4477954565590681</c:v>
                </c:pt>
                <c:pt idx="199">
                  <c:v>2.4520931468239686</c:v>
                </c:pt>
                <c:pt idx="200">
                  <c:v>2.4563895194244378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01-4995-8D1B-32BA3094CE07}"/>
            </c:ext>
          </c:extLst>
        </c:ser>
        <c:ser>
          <c:idx val="1"/>
          <c:order val="3"/>
          <c:tx>
            <c:v>Shunt Loss</c:v>
          </c:tx>
          <c:spPr>
            <a:ln w="38100">
              <a:solidFill>
                <a:srgbClr val="002060"/>
              </a:solidFill>
              <a:prstDash val="sysDot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cat>
          <c:val>
            <c:numRef>
              <c:f>'Efficiency vs VIN Calculations'!$BL$9:$BL$209</c:f>
              <c:numCache>
                <c:formatCode>0.000</c:formatCode>
                <c:ptCount val="201"/>
                <c:pt idx="0">
                  <c:v>1.4695599929305745</c:v>
                </c:pt>
                <c:pt idx="1">
                  <c:v>1.3635551332229745</c:v>
                </c:pt>
                <c:pt idx="2">
                  <c:v>1.2659186776538582</c:v>
                </c:pt>
                <c:pt idx="3">
                  <c:v>1.1758360222564448</c:v>
                </c:pt>
                <c:pt idx="4">
                  <c:v>1.0925875223594232</c:v>
                </c:pt>
                <c:pt idx="5">
                  <c:v>1.0155356334603167</c:v>
                </c:pt>
                <c:pt idx="6">
                  <c:v>0.94411402865672089</c:v>
                </c:pt>
                <c:pt idx="7">
                  <c:v>0.87781835388709106</c:v>
                </c:pt>
                <c:pt idx="8">
                  <c:v>0.81619834604688635</c:v>
                </c:pt>
                <c:pt idx="9">
                  <c:v>0.7588510897949875</c:v>
                </c:pt>
                <c:pt idx="10">
                  <c:v>0.7054152294297692</c:v>
                </c:pt>
                <c:pt idx="11">
                  <c:v>0.65556598479589134</c:v>
                </c:pt>
                <c:pt idx="12">
                  <c:v>0.6090108464745807</c:v>
                </c:pt>
                <c:pt idx="13">
                  <c:v>0.56548584682093639</c:v>
                </c:pt>
                <c:pt idx="14">
                  <c:v>0.52475232075920353</c:v>
                </c:pt>
                <c:pt idx="15">
                  <c:v>0.4865940844260086</c:v>
                </c:pt>
                <c:pt idx="16">
                  <c:v>0.45081497138676485</c:v>
                </c:pt>
                <c:pt idx="17">
                  <c:v>0.41723667573428097</c:v>
                </c:pt>
                <c:pt idx="18">
                  <c:v>0.38569685930161912</c:v>
                </c:pt>
                <c:pt idx="19">
                  <c:v>0.35604748679418224</c:v>
                </c:pt>
                <c:pt idx="20">
                  <c:v>0.32815335811740837</c:v>
                </c:pt>
                <c:pt idx="21">
                  <c:v>0.3018908117457153</c:v>
                </c:pt>
                <c:pt idx="22">
                  <c:v>0.27714657680629079</c:v>
                </c:pt>
                <c:pt idx="23">
                  <c:v>0.25381675476788523</c:v>
                </c:pt>
                <c:pt idx="24">
                  <c:v>0.23180591433558129</c:v>
                </c:pt>
                <c:pt idx="25">
                  <c:v>0.21102628544354493</c:v>
                </c:pt>
                <c:pt idx="26">
                  <c:v>0.1913970401793165</c:v>
                </c:pt>
                <c:pt idx="27">
                  <c:v>0.172843650122984</c:v>
                </c:pt>
                <c:pt idx="28">
                  <c:v>0.15529731098999475</c:v>
                </c:pt>
                <c:pt idx="29">
                  <c:v>0.13869442666661405</c:v>
                </c:pt>
                <c:pt idx="30">
                  <c:v>0.12297614575453426</c:v>
                </c:pt>
                <c:pt idx="31">
                  <c:v>0.1080879446227937</c:v>
                </c:pt>
                <c:pt idx="32">
                  <c:v>9.3979251723401672E-2</c:v>
                </c:pt>
                <c:pt idx="33">
                  <c:v>8.0603108580599839E-2</c:v>
                </c:pt>
                <c:pt idx="34">
                  <c:v>0.10716249967299274</c:v>
                </c:pt>
                <c:pt idx="35">
                  <c:v>9.5766362834894245E-2</c:v>
                </c:pt>
                <c:pt idx="36">
                  <c:v>8.4934983916210627E-2</c:v>
                </c:pt>
                <c:pt idx="37">
                  <c:v>7.4636366174379881E-2</c:v>
                </c:pt>
                <c:pt idx="38">
                  <c:v>6.4840517551474269E-2</c:v>
                </c:pt>
                <c:pt idx="39">
                  <c:v>5.5519280588176956E-2</c:v>
                </c:pt>
                <c:pt idx="40">
                  <c:v>4.6631809748692819E-2</c:v>
                </c:pt>
                <c:pt idx="41">
                  <c:v>5.4020107096496406E-2</c:v>
                </c:pt>
                <c:pt idx="42">
                  <c:v>6.1231017377615E-2</c:v>
                </c:pt>
                <c:pt idx="43">
                  <c:v>6.8272863436083409E-2</c:v>
                </c:pt>
                <c:pt idx="44">
                  <c:v>7.5152704704255599E-2</c:v>
                </c:pt>
                <c:pt idx="45">
                  <c:v>8.1877166351038491E-2</c:v>
                </c:pt>
                <c:pt idx="46">
                  <c:v>8.8452473492569308E-2</c:v>
                </c:pt>
                <c:pt idx="47">
                  <c:v>9.4884482223720312E-2</c:v>
                </c:pt>
                <c:pt idx="48">
                  <c:v>0.10117870780402237</c:v>
                </c:pt>
                <c:pt idx="49">
                  <c:v>0.10734035029301892</c:v>
                </c:pt>
                <c:pt idx="50">
                  <c:v>0.11337431789631928</c:v>
                </c:pt>
                <c:pt idx="51">
                  <c:v>6.4866608292507164E-2</c:v>
                </c:pt>
                <c:pt idx="52">
                  <c:v>7.0417873348236182E-2</c:v>
                </c:pt>
                <c:pt idx="53">
                  <c:v>7.5852503618307587E-2</c:v>
                </c:pt>
                <c:pt idx="54">
                  <c:v>8.1174307909419083E-2</c:v>
                </c:pt>
                <c:pt idx="55">
                  <c:v>8.6386923990315348E-2</c:v>
                </c:pt>
                <c:pt idx="56">
                  <c:v>9.1493828406639707E-2</c:v>
                </c:pt>
                <c:pt idx="57">
                  <c:v>9.6498345611773589E-2</c:v>
                </c:pt>
                <c:pt idx="58">
                  <c:v>0.10140365646944502</c:v>
                </c:pt>
                <c:pt idx="59">
                  <c:v>0.10621280617870439</c:v>
                </c:pt>
                <c:pt idx="60">
                  <c:v>0.11092871166722919</c:v>
                </c:pt>
                <c:pt idx="61">
                  <c:v>0.11555416849475045</c:v>
                </c:pt>
                <c:pt idx="62">
                  <c:v>0.12009185730464854</c:v>
                </c:pt>
                <c:pt idx="63">
                  <c:v>0.12454434985839692</c:v>
                </c:pt>
                <c:pt idx="64">
                  <c:v>0.12891411468449521</c:v>
                </c:pt>
                <c:pt idx="65">
                  <c:v>0.1332035223707923</c:v>
                </c:pt>
                <c:pt idx="66">
                  <c:v>0.13741485052662814</c:v>
                </c:pt>
                <c:pt idx="67">
                  <c:v>0.14155028843898304</c:v>
                </c:pt>
                <c:pt idx="68">
                  <c:v>0.14561194144479941</c:v>
                </c:pt>
                <c:pt idx="69">
                  <c:v>0.14960183503980423</c:v>
                </c:pt>
                <c:pt idx="70">
                  <c:v>0.15352191874249704</c:v>
                </c:pt>
                <c:pt idx="71">
                  <c:v>0.15737406973045262</c:v>
                </c:pt>
                <c:pt idx="72">
                  <c:v>0.16116009626471489</c:v>
                </c:pt>
                <c:pt idx="73">
                  <c:v>0.16488174091680813</c:v>
                </c:pt>
                <c:pt idx="74">
                  <c:v>0.16854068361174618</c:v>
                </c:pt>
                <c:pt idx="75">
                  <c:v>0.17213854449938687</c:v>
                </c:pt>
                <c:pt idx="76">
                  <c:v>0.17567688666552658</c:v>
                </c:pt>
                <c:pt idx="77">
                  <c:v>0.17915721869326182</c:v>
                </c:pt>
                <c:pt idx="78">
                  <c:v>0.18258099708435407</c:v>
                </c:pt>
                <c:pt idx="79">
                  <c:v>0.18594962854960678</c:v>
                </c:pt>
                <c:pt idx="80">
                  <c:v>0.18926447217659867</c:v>
                </c:pt>
                <c:pt idx="81">
                  <c:v>0.19252684148250729</c:v>
                </c:pt>
                <c:pt idx="82">
                  <c:v>0.19573800635919736</c:v>
                </c:pt>
                <c:pt idx="83">
                  <c:v>0.19889919491723398</c:v>
                </c:pt>
                <c:pt idx="84">
                  <c:v>0.20201159523500786</c:v>
                </c:pt>
                <c:pt idx="85">
                  <c:v>0.20507635701872548</c:v>
                </c:pt>
                <c:pt idx="86">
                  <c:v>0.208094593178617</c:v>
                </c:pt>
                <c:pt idx="87">
                  <c:v>0.21106738132634068</c:v>
                </c:pt>
                <c:pt idx="88">
                  <c:v>0.21399576519823099</c:v>
                </c:pt>
                <c:pt idx="89">
                  <c:v>0.2168807560087159</c:v>
                </c:pt>
                <c:pt idx="90">
                  <c:v>0.21972333373793987</c:v>
                </c:pt>
                <c:pt idx="91">
                  <c:v>0.22252444835736396</c:v>
                </c:pt>
                <c:pt idx="92">
                  <c:v>0.22528502099686365</c:v>
                </c:pt>
                <c:pt idx="93">
                  <c:v>0.2280059450566132</c:v>
                </c:pt>
                <c:pt idx="94">
                  <c:v>0.23068808726683826</c:v>
                </c:pt>
                <c:pt idx="95">
                  <c:v>0.23333228869831571</c:v>
                </c:pt>
                <c:pt idx="96">
                  <c:v>0.23593936572631752</c:v>
                </c:pt>
                <c:pt idx="97">
                  <c:v>0.2385101109505286</c:v>
                </c:pt>
                <c:pt idx="98">
                  <c:v>0.24104529407330771</c:v>
                </c:pt>
                <c:pt idx="99">
                  <c:v>0.24354566273851314</c:v>
                </c:pt>
                <c:pt idx="100">
                  <c:v>0.24601194333298196</c:v>
                </c:pt>
                <c:pt idx="101">
                  <c:v>0.24844484175262127</c:v>
                </c:pt>
                <c:pt idx="102">
                  <c:v>0.25084504413495251</c:v>
                </c:pt>
                <c:pt idx="103">
                  <c:v>0.25321321755984055</c:v>
                </c:pt>
                <c:pt idx="104">
                  <c:v>0.25555001072003469</c:v>
                </c:pt>
                <c:pt idx="105">
                  <c:v>0.25785605456305571</c:v>
                </c:pt>
                <c:pt idx="106">
                  <c:v>0.26013196290587026</c:v>
                </c:pt>
                <c:pt idx="107">
                  <c:v>0.26237833302371072</c:v>
                </c:pt>
                <c:pt idx="108">
                  <c:v>0.26459574621432563</c:v>
                </c:pt>
                <c:pt idx="109">
                  <c:v>0.26678476833886389</c:v>
                </c:pt>
                <c:pt idx="110">
                  <c:v>0.26894595034053509</c:v>
                </c:pt>
                <c:pt idx="111">
                  <c:v>0.27107982874212222</c:v>
                </c:pt>
                <c:pt idx="112">
                  <c:v>0.27318692612335893</c:v>
                </c:pt>
                <c:pt idx="113">
                  <c:v>0.27526775157913547</c:v>
                </c:pt>
                <c:pt idx="114">
                  <c:v>0.27732280115943708</c:v>
                </c:pt>
                <c:pt idx="115">
                  <c:v>0.27935255829187222</c:v>
                </c:pt>
                <c:pt idx="116">
                  <c:v>0.28135749418760547</c:v>
                </c:pt>
                <c:pt idx="117">
                  <c:v>0.2833380682314578</c:v>
                </c:pt>
                <c:pt idx="118">
                  <c:v>0.28529472835690428</c:v>
                </c:pt>
                <c:pt idx="119">
                  <c:v>0.2872279114066571</c:v>
                </c:pt>
                <c:pt idx="120">
                  <c:v>0.28913804347948557</c:v>
                </c:pt>
                <c:pt idx="121">
                  <c:v>0.29102554026389166</c:v>
                </c:pt>
                <c:pt idx="122">
                  <c:v>0.29289080735922712</c:v>
                </c:pt>
                <c:pt idx="123">
                  <c:v>0.29473424058480985</c:v>
                </c:pt>
                <c:pt idx="124">
                  <c:v>0.29655622627756523</c:v>
                </c:pt>
                <c:pt idx="125">
                  <c:v>0.29835714157869464</c:v>
                </c:pt>
                <c:pt idx="126">
                  <c:v>0.30013735470984781</c:v>
                </c:pt>
                <c:pt idx="127">
                  <c:v>0.3018972252392505</c:v>
                </c:pt>
                <c:pt idx="128">
                  <c:v>0.30363710433821606</c:v>
                </c:pt>
                <c:pt idx="129">
                  <c:v>0.30535733502845241</c:v>
                </c:pt>
                <c:pt idx="130">
                  <c:v>0.30705825242054996</c:v>
                </c:pt>
                <c:pt idx="131">
                  <c:v>0.30874018394402286</c:v>
                </c:pt>
                <c:pt idx="132">
                  <c:v>0.31040344956925381</c:v>
                </c:pt>
                <c:pt idx="133">
                  <c:v>0.31204836202167691</c:v>
                </c:pt>
                <c:pt idx="134">
                  <c:v>0.31367522698852079</c:v>
                </c:pt>
                <c:pt idx="135">
                  <c:v>0.3152843433184126</c:v>
                </c:pt>
                <c:pt idx="136">
                  <c:v>0.31687600321413362</c:v>
                </c:pt>
                <c:pt idx="137">
                  <c:v>0.31845049241880397</c:v>
                </c:pt>
                <c:pt idx="138">
                  <c:v>0.32000809039575806</c:v>
                </c:pt>
                <c:pt idx="139">
                  <c:v>0.32154907050236325</c:v>
                </c:pt>
                <c:pt idx="140">
                  <c:v>0.32307370015801978</c:v>
                </c:pt>
                <c:pt idx="141">
                  <c:v>0.32458224100657401</c:v>
                </c:pt>
                <c:pt idx="142">
                  <c:v>0.3260749490733591</c:v>
                </c:pt>
                <c:pt idx="143">
                  <c:v>0.327552074917075</c:v>
                </c:pt>
                <c:pt idx="144">
                  <c:v>0.32901386377670727</c:v>
                </c:pt>
                <c:pt idx="145">
                  <c:v>0.33046055571367089</c:v>
                </c:pt>
                <c:pt idx="146">
                  <c:v>0.33189238574936814</c:v>
                </c:pt>
                <c:pt idx="147">
                  <c:v>0.33330958399832672</c:v>
                </c:pt>
                <c:pt idx="148">
                  <c:v>0.33471237579709218</c:v>
                </c:pt>
                <c:pt idx="149">
                  <c:v>0.33610098182902814</c:v>
                </c:pt>
                <c:pt idx="150">
                  <c:v>0.33747561824517919</c:v>
                </c:pt>
                <c:pt idx="151">
                  <c:v>0.3388364967813427</c:v>
                </c:pt>
                <c:pt idx="152">
                  <c:v>0.34018382487148829</c:v>
                </c:pt>
                <c:pt idx="153">
                  <c:v>0.34151780575765806</c:v>
                </c:pt>
                <c:pt idx="154">
                  <c:v>0.34283863859647873</c:v>
                </c:pt>
                <c:pt idx="155">
                  <c:v>0.34414651856240314</c:v>
                </c:pt>
                <c:pt idx="156">
                  <c:v>0.34544163694780605</c:v>
                </c:pt>
                <c:pt idx="157">
                  <c:v>0.3467241812600389</c:v>
                </c:pt>
                <c:pt idx="158">
                  <c:v>0.34799433531555796</c:v>
                </c:pt>
                <c:pt idx="159">
                  <c:v>0.34925227933122682</c:v>
                </c:pt>
                <c:pt idx="160">
                  <c:v>0.35049819001289328</c:v>
                </c:pt>
                <c:pt idx="161">
                  <c:v>0.35173224064133601</c:v>
                </c:pt>
                <c:pt idx="162">
                  <c:v>0.35295460115567201</c:v>
                </c:pt>
                <c:pt idx="163">
                  <c:v>0.35416543823431396</c:v>
                </c:pt>
                <c:pt idx="164">
                  <c:v>0.35536491537356241</c:v>
                </c:pt>
                <c:pt idx="165">
                  <c:v>0.35655319296391064</c:v>
                </c:pt>
                <c:pt idx="166">
                  <c:v>0.35773042836414415</c:v>
                </c:pt>
                <c:pt idx="167">
                  <c:v>0.35889677597330771</c:v>
                </c:pt>
                <c:pt idx="168">
                  <c:v>0.36005238730061195</c:v>
                </c:pt>
                <c:pt idx="169">
                  <c:v>0.36119741103334718</c:v>
                </c:pt>
                <c:pt idx="170">
                  <c:v>0.36233199310287578</c:v>
                </c:pt>
                <c:pt idx="171">
                  <c:v>0.36345627674876185</c:v>
                </c:pt>
                <c:pt idx="172">
                  <c:v>0.36457040258110091</c:v>
                </c:pt>
                <c:pt idx="173">
                  <c:v>0.36567450864111128</c:v>
                </c:pt>
                <c:pt idx="174">
                  <c:v>0.3667687304600426</c:v>
                </c:pt>
                <c:pt idx="175">
                  <c:v>0.36785320111645348</c:v>
                </c:pt>
                <c:pt idx="176">
                  <c:v>0.36892805129191658</c:v>
                </c:pt>
                <c:pt idx="177">
                  <c:v>0.36999340932519742</c:v>
                </c:pt>
                <c:pt idx="178">
                  <c:v>0.37104940126495789</c:v>
                </c:pt>
                <c:pt idx="179">
                  <c:v>0.37209615092103043</c:v>
                </c:pt>
                <c:pt idx="180">
                  <c:v>0.37313377991430885</c:v>
                </c:pt>
                <c:pt idx="181">
                  <c:v>0.37416240772530124</c:v>
                </c:pt>
                <c:pt idx="182">
                  <c:v>0.37518215174138231</c:v>
                </c:pt>
                <c:pt idx="183">
                  <c:v>0.3761931273027932</c:v>
                </c:pt>
                <c:pt idx="184">
                  <c:v>0.37719544774741831</c:v>
                </c:pt>
                <c:pt idx="185">
                  <c:v>0.37818922445438702</c:v>
                </c:pt>
                <c:pt idx="186">
                  <c:v>0.37917456688652851</c:v>
                </c:pt>
                <c:pt idx="187">
                  <c:v>0.38015158263172061</c:v>
                </c:pt>
                <c:pt idx="188">
                  <c:v>0.38112037744316268</c:v>
                </c:pt>
                <c:pt idx="189">
                  <c:v>0.38208105527860681</c:v>
                </c:pt>
                <c:pt idx="190">
                  <c:v>0.38303371833857991</c:v>
                </c:pt>
                <c:pt idx="191">
                  <c:v>0.38397846710362415</c:v>
                </c:pt>
                <c:pt idx="192">
                  <c:v>0.38491540037058886</c:v>
                </c:pt>
                <c:pt idx="193">
                  <c:v>0.38584461528800007</c:v>
                </c:pt>
                <c:pt idx="194">
                  <c:v>0.38676620739053391</c:v>
                </c:pt>
                <c:pt idx="195">
                  <c:v>0.38768027063262439</c:v>
                </c:pt>
                <c:pt idx="196">
                  <c:v>0.38858689742122748</c:v>
                </c:pt>
                <c:pt idx="197">
                  <c:v>0.38948617864776636</c:v>
                </c:pt>
                <c:pt idx="198">
                  <c:v>0.39037820371928522</c:v>
                </c:pt>
                <c:pt idx="199">
                  <c:v>0.39126306058883042</c:v>
                </c:pt>
                <c:pt idx="200">
                  <c:v>0.39214083578508424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01-4995-8D1B-32BA3094C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51872"/>
        <c:axId val="157949952"/>
      </c:lineChart>
      <c:catAx>
        <c:axId val="157945856"/>
        <c:scaling>
          <c:orientation val="minMax"/>
        </c:scaling>
        <c:delete val="0"/>
        <c:axPos val="b"/>
        <c:majorGridlines>
          <c:spPr>
            <a:ln w="158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FF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>
                    <a:solidFill>
                      <a:srgbClr val="0000FF"/>
                    </a:solidFill>
                    <a:latin typeface="Arial" pitchFamily="34" charset="0"/>
                    <a:cs typeface="Arial" pitchFamily="34" charset="0"/>
                  </a:rPr>
                  <a:t>Input Voltage (V)</a:t>
                </a:r>
              </a:p>
            </c:rich>
          </c:tx>
          <c:layout>
            <c:manualLayout>
              <c:xMode val="edge"/>
              <c:yMode val="edge"/>
              <c:x val="0.41625343343709942"/>
              <c:y val="0.9457191357373133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FF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n-US"/>
          </a:p>
        </c:txPr>
        <c:crossAx val="157947776"/>
        <c:crosses val="autoZero"/>
        <c:auto val="1"/>
        <c:lblAlgn val="ctr"/>
        <c:lblOffset val="100"/>
        <c:tickLblSkip val="50"/>
        <c:tickMarkSkip val="25"/>
        <c:noMultiLvlLbl val="1"/>
      </c:catAx>
      <c:valAx>
        <c:axId val="157947776"/>
        <c:scaling>
          <c:orientation val="minMax"/>
          <c:max val="100"/>
          <c:min val="80"/>
        </c:scaling>
        <c:delete val="0"/>
        <c:axPos val="l"/>
        <c:majorGridlines>
          <c:spPr>
            <a:ln w="15875">
              <a:solidFill>
                <a:srgbClr val="80808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FF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 b="1">
                    <a:solidFill>
                      <a:srgbClr val="FF0000"/>
                    </a:solidFill>
                    <a:latin typeface="Arial" pitchFamily="34" charset="0"/>
                    <a:cs typeface="Arial" pitchFamily="34" charset="0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1.2871858674081443E-2"/>
              <c:y val="0.376381779156883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n-US"/>
          </a:p>
        </c:txPr>
        <c:crossAx val="157945856"/>
        <c:crosses val="autoZero"/>
        <c:crossBetween val="between"/>
        <c:majorUnit val="5"/>
        <c:minorUnit val="2.5"/>
      </c:valAx>
      <c:valAx>
        <c:axId val="15794995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 b="1"/>
                </a:pPr>
                <a:r>
                  <a:rPr lang="en-US" sz="1400" b="1"/>
                  <a:t>Power Loss (W)</a:t>
                </a:r>
              </a:p>
            </c:rich>
          </c:tx>
          <c:layout>
            <c:manualLayout>
              <c:xMode val="edge"/>
              <c:yMode val="edge"/>
              <c:x val="0.95594291793250197"/>
              <c:y val="0.37048873366731228"/>
            </c:manualLayout>
          </c:layout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11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57951872"/>
        <c:crosses val="max"/>
        <c:crossBetween val="between"/>
      </c:valAx>
      <c:catAx>
        <c:axId val="157951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794995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37214586160317298"/>
          <c:y val="1.1892546194234431E-2"/>
          <c:w val="0.6110537765428794"/>
          <c:h val="9.05765609084236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 pitchFamily="34" charset="0"/>
              <a:ea typeface="Calibri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solidFill>
        <a:srgbClr val="808080"/>
      </a:solidFill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 paperSize="5"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 MOSFET Temp Rise</a:t>
            </a:r>
          </a:p>
        </c:rich>
      </c:tx>
      <c:layout>
        <c:manualLayout>
          <c:xMode val="edge"/>
          <c:yMode val="edge"/>
          <c:x val="0.42625201261607004"/>
          <c:y val="5.3971744656178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4104795743185"/>
          <c:y val="0.15757606845026328"/>
          <c:w val="0.85614122031885154"/>
          <c:h val="0.71717313204926625"/>
        </c:manualLayout>
      </c:layout>
      <c:scatterChart>
        <c:scatterStyle val="lineMarker"/>
        <c:varyColors val="0"/>
        <c:ser>
          <c:idx val="0"/>
          <c:order val="0"/>
          <c:tx>
            <c:v>High-side MOSFET</c:v>
          </c:tx>
          <c:spPr>
            <a:ln w="3175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Calculations'!$BE$9:$BE$209</c:f>
              <c:numCache>
                <c:formatCode>0.0</c:formatCode>
                <c:ptCount val="201"/>
                <c:pt idx="0">
                  <c:v>60.363338381930689</c:v>
                </c:pt>
                <c:pt idx="1">
                  <c:v>56.472024474194512</c:v>
                </c:pt>
                <c:pt idx="2">
                  <c:v>52.955627014897509</c:v>
                </c:pt>
                <c:pt idx="3">
                  <c:v>49.76610669806476</c:v>
                </c:pt>
                <c:pt idx="4">
                  <c:v>46.863116204614975</c:v>
                </c:pt>
                <c:pt idx="5">
                  <c:v>44.212531838913186</c:v>
                </c:pt>
                <c:pt idx="6">
                  <c:v>41.785308222151777</c:v>
                </c:pt>
                <c:pt idx="7">
                  <c:v>39.556576137980834</c:v>
                </c:pt>
                <c:pt idx="8">
                  <c:v>37.504925432833446</c:v>
                </c:pt>
                <c:pt idx="9">
                  <c:v>35.611830206980699</c:v>
                </c:pt>
                <c:pt idx="10">
                  <c:v>33.861184459354931</c:v>
                </c:pt>
                <c:pt idx="11">
                  <c:v>32.238924233031277</c:v>
                </c:pt>
                <c:pt idx="12">
                  <c:v>30.732718062283748</c:v>
                </c:pt>
                <c:pt idx="13">
                  <c:v>29.331711766937818</c:v>
                </c:pt>
                <c:pt idx="14">
                  <c:v>28.026316802651728</c:v>
                </c:pt>
                <c:pt idx="15">
                  <c:v>26.808033754674902</c:v>
                </c:pt>
                <c:pt idx="16">
                  <c:v>25.669304367653567</c:v>
                </c:pt>
                <c:pt idx="17">
                  <c:v>24.603386884962774</c:v>
                </c:pt>
                <c:pt idx="18">
                  <c:v>23.60425053572283</c:v>
                </c:pt>
                <c:pt idx="19">
                  <c:v>22.666485834551665</c:v>
                </c:pt>
                <c:pt idx="20">
                  <c:v>21.785228005776467</c:v>
                </c:pt>
                <c:pt idx="21">
                  <c:v>20.956091352872839</c:v>
                </c:pt>
                <c:pt idx="22">
                  <c:v>20.1751127971025</c:v>
                </c:pt>
                <c:pt idx="23">
                  <c:v>19.438703130568076</c:v>
                </c:pt>
                <c:pt idx="24">
                  <c:v>18.743604786290057</c:v>
                </c:pt>
                <c:pt idx="25">
                  <c:v>18.086855135229875</c:v>
                </c:pt>
                <c:pt idx="26">
                  <c:v>17.465754488020284</c:v>
                </c:pt>
                <c:pt idx="27">
                  <c:v>16.877838115697458</c:v>
                </c:pt>
                <c:pt idx="28">
                  <c:v>16.320851715308699</c:v>
                </c:pt>
                <c:pt idx="29">
                  <c:v>15.792729837859238</c:v>
                </c:pt>
                <c:pt idx="30">
                  <c:v>15.29157687155997</c:v>
                </c:pt>
                <c:pt idx="31">
                  <c:v>14.815650235822844</c:v>
                </c:pt>
                <c:pt idx="32">
                  <c:v>14.363345493366332</c:v>
                </c:pt>
                <c:pt idx="33">
                  <c:v>13.933183131087334</c:v>
                </c:pt>
                <c:pt idx="34">
                  <c:v>11.62624452860388</c:v>
                </c:pt>
                <c:pt idx="35">
                  <c:v>11.425443768072723</c:v>
                </c:pt>
                <c:pt idx="36">
                  <c:v>11.23818701624181</c:v>
                </c:pt>
                <c:pt idx="37">
                  <c:v>11.063654366695427</c:v>
                </c:pt>
                <c:pt idx="38">
                  <c:v>10.901081696617215</c:v>
                </c:pt>
                <c:pt idx="39">
                  <c:v>10.74975556109526</c:v>
                </c:pt>
                <c:pt idx="40">
                  <c:v>10.608835239875429</c:v>
                </c:pt>
                <c:pt idx="41">
                  <c:v>61.772216432492975</c:v>
                </c:pt>
                <c:pt idx="42">
                  <c:v>61.131674497345266</c:v>
                </c:pt>
                <c:pt idx="43">
                  <c:v>60.515899188603207</c:v>
                </c:pt>
                <c:pt idx="44">
                  <c:v>59.923569725533795</c:v>
                </c:pt>
                <c:pt idx="45">
                  <c:v>59.353459657066722</c:v>
                </c:pt>
                <c:pt idx="46">
                  <c:v>58.804428609200109</c:v>
                </c:pt>
                <c:pt idx="47">
                  <c:v>58.27541487542328</c:v>
                </c:pt>
                <c:pt idx="48">
                  <c:v>57.765428752391166</c:v>
                </c:pt>
                <c:pt idx="49">
                  <c:v>57.273546535723128</c:v>
                </c:pt>
                <c:pt idx="50">
                  <c:v>56.798905101641907</c:v>
                </c:pt>
                <c:pt idx="51">
                  <c:v>61.570941681052361</c:v>
                </c:pt>
                <c:pt idx="52">
                  <c:v>61.230860406193024</c:v>
                </c:pt>
                <c:pt idx="53">
                  <c:v>60.904541274463476</c:v>
                </c:pt>
                <c:pt idx="54">
                  <c:v>60.591443987405647</c:v>
                </c:pt>
                <c:pt idx="55">
                  <c:v>60.291056756107686</c:v>
                </c:pt>
                <c:pt idx="56">
                  <c:v>60.002894420868472</c:v>
                </c:pt>
                <c:pt idx="57">
                  <c:v>59.72649671881404</c:v>
                </c:pt>
                <c:pt idx="58">
                  <c:v>59.461426686013972</c:v>
                </c:pt>
                <c:pt idx="59">
                  <c:v>59.207269182028035</c:v>
                </c:pt>
                <c:pt idx="60">
                  <c:v>58.963629526036108</c:v>
                </c:pt>
                <c:pt idx="61">
                  <c:v>58.730132234791455</c:v>
                </c:pt>
                <c:pt idx="62">
                  <c:v>58.50641985360101</c:v>
                </c:pt>
                <c:pt idx="63">
                  <c:v>58.292151872396971</c:v>
                </c:pt>
                <c:pt idx="64">
                  <c:v>58.08700371972899</c:v>
                </c:pt>
                <c:pt idx="65">
                  <c:v>57.890665828189405</c:v>
                </c:pt>
                <c:pt idx="66">
                  <c:v>57.702842765396426</c:v>
                </c:pt>
                <c:pt idx="67">
                  <c:v>57.523252425206358</c:v>
                </c:pt>
                <c:pt idx="68">
                  <c:v>57.351625274316156</c:v>
                </c:pt>
                <c:pt idx="69">
                  <c:v>57.187703649858953</c:v>
                </c:pt>
                <c:pt idx="70">
                  <c:v>57.031241103989714</c:v>
                </c:pt>
                <c:pt idx="71">
                  <c:v>56.882001791814382</c:v>
                </c:pt>
                <c:pt idx="72">
                  <c:v>56.739759899337209</c:v>
                </c:pt>
                <c:pt idx="73">
                  <c:v>56.604299108389469</c:v>
                </c:pt>
                <c:pt idx="74">
                  <c:v>56.47541209576471</c:v>
                </c:pt>
                <c:pt idx="75">
                  <c:v>56.352900064021284</c:v>
                </c:pt>
                <c:pt idx="76">
                  <c:v>56.236572301627149</c:v>
                </c:pt>
                <c:pt idx="77">
                  <c:v>56.126245770315442</c:v>
                </c:pt>
                <c:pt idx="78">
                  <c:v>56.021744717695363</c:v>
                </c:pt>
                <c:pt idx="79">
                  <c:v>55.92290031332179</c:v>
                </c:pt>
                <c:pt idx="80">
                  <c:v>55.829550306573076</c:v>
                </c:pt>
                <c:pt idx="81">
                  <c:v>55.741538704817437</c:v>
                </c:pt>
                <c:pt idx="82">
                  <c:v>55.658715470469254</c:v>
                </c:pt>
                <c:pt idx="83">
                  <c:v>55.58093623564617</c:v>
                </c:pt>
                <c:pt idx="84">
                  <c:v>55.508062033236968</c:v>
                </c:pt>
                <c:pt idx="85">
                  <c:v>55.439959043283281</c:v>
                </c:pt>
                <c:pt idx="86">
                  <c:v>55.37649835365962</c:v>
                </c:pt>
                <c:pt idx="87">
                  <c:v>55.317555734114499</c:v>
                </c:pt>
                <c:pt idx="88">
                  <c:v>55.263011422803885</c:v>
                </c:pt>
                <c:pt idx="89">
                  <c:v>55.21274992451356</c:v>
                </c:pt>
                <c:pt idx="90">
                  <c:v>55.16665981982505</c:v>
                </c:pt>
                <c:pt idx="91">
                  <c:v>55.124633584534301</c:v>
                </c:pt>
                <c:pt idx="92">
                  <c:v>55.086567418681106</c:v>
                </c:pt>
                <c:pt idx="93">
                  <c:v>55.05236108459458</c:v>
                </c:pt>
                <c:pt idx="94">
                  <c:v>55.021917753399784</c:v>
                </c:pt>
                <c:pt idx="95">
                  <c:v>54.995143859471661</c:v>
                </c:pt>
                <c:pt idx="96">
                  <c:v>54.971948962355974</c:v>
                </c:pt>
                <c:pt idx="97">
                  <c:v>54.95224561571159</c:v>
                </c:pt>
                <c:pt idx="98">
                  <c:v>54.935949242857681</c:v>
                </c:pt>
                <c:pt idx="99">
                  <c:v>54.922978018538245</c:v>
                </c:pt>
                <c:pt idx="100">
                  <c:v>54.913252756541532</c:v>
                </c:pt>
                <c:pt idx="101">
                  <c:v>54.906696802836905</c:v>
                </c:pt>
                <c:pt idx="102">
                  <c:v>54.903235933913017</c:v>
                </c:pt>
                <c:pt idx="103">
                  <c:v>54.902798260022443</c:v>
                </c:pt>
                <c:pt idx="104">
                  <c:v>54.905314133056393</c:v>
                </c:pt>
                <c:pt idx="105">
                  <c:v>54.9107160587915</c:v>
                </c:pt>
                <c:pt idx="106">
                  <c:v>54.918938613266462</c:v>
                </c:pt>
                <c:pt idx="107">
                  <c:v>54.929918363062022</c:v>
                </c:pt>
                <c:pt idx="108">
                  <c:v>54.94359378927178</c:v>
                </c:pt>
                <c:pt idx="109">
                  <c:v>54.959905214964522</c:v>
                </c:pt>
                <c:pt idx="110">
                  <c:v>54.978794735951084</c:v>
                </c:pt>
                <c:pt idx="111">
                  <c:v>55.000206154680164</c:v>
                </c:pt>
                <c:pt idx="112">
                  <c:v>55.024084917097852</c:v>
                </c:pt>
                <c:pt idx="113">
                  <c:v>55.050378052316518</c:v>
                </c:pt>
                <c:pt idx="114">
                  <c:v>55.079034114946332</c:v>
                </c:pt>
                <c:pt idx="115">
                  <c:v>55.110003129953213</c:v>
                </c:pt>
                <c:pt idx="116">
                  <c:v>55.143236539913268</c:v>
                </c:pt>
                <c:pt idx="117">
                  <c:v>55.178687154542857</c:v>
                </c:pt>
                <c:pt idx="118">
                  <c:v>55.216309102389246</c:v>
                </c:pt>
                <c:pt idx="119">
                  <c:v>55.256057784574196</c:v>
                </c:pt>
                <c:pt idx="120">
                  <c:v>55.297889830488458</c:v>
                </c:pt>
                <c:pt idx="121">
                  <c:v>55.341763055341445</c:v>
                </c:pt>
                <c:pt idx="122">
                  <c:v>55.387636419475037</c:v>
                </c:pt>
                <c:pt idx="123">
                  <c:v>55.435469989356335</c:v>
                </c:pt>
                <c:pt idx="124">
                  <c:v>55.485224900168184</c:v>
                </c:pt>
                <c:pt idx="125">
                  <c:v>55.536863319921373</c:v>
                </c:pt>
                <c:pt idx="126">
                  <c:v>55.590348415015846</c:v>
                </c:pt>
                <c:pt idx="127">
                  <c:v>55.64564431718324</c:v>
                </c:pt>
                <c:pt idx="128">
                  <c:v>55.70271609174543</c:v>
                </c:pt>
                <c:pt idx="129">
                  <c:v>55.761529707128368</c:v>
                </c:pt>
                <c:pt idx="130">
                  <c:v>55.822052005573028</c:v>
                </c:pt>
                <c:pt idx="131">
                  <c:v>55.88425067498882</c:v>
                </c:pt>
                <c:pt idx="132">
                  <c:v>55.948094221897108</c:v>
                </c:pt>
                <c:pt idx="133">
                  <c:v>56.013551945415848</c:v>
                </c:pt>
                <c:pt idx="134">
                  <c:v>56.080593912238456</c:v>
                </c:pt>
                <c:pt idx="135">
                  <c:v>56.149190932562462</c:v>
                </c:pt>
                <c:pt idx="136">
                  <c:v>56.219314536926113</c:v>
                </c:pt>
                <c:pt idx="137">
                  <c:v>56.290936953912471</c:v>
                </c:pt>
                <c:pt idx="138">
                  <c:v>56.364031088683817</c:v>
                </c:pt>
                <c:pt idx="139">
                  <c:v>56.438570502309318</c:v>
                </c:pt>
                <c:pt idx="140">
                  <c:v>56.514529391852534</c:v>
                </c:pt>
                <c:pt idx="141">
                  <c:v>56.591882571185891</c:v>
                </c:pt>
                <c:pt idx="142">
                  <c:v>56.670605452500844</c:v>
                </c:pt>
                <c:pt idx="143">
                  <c:v>56.750674028484617</c:v>
                </c:pt>
                <c:pt idx="144">
                  <c:v>56.832064855135556</c:v>
                </c:pt>
                <c:pt idx="145">
                  <c:v>56.914755035189792</c:v>
                </c:pt>
                <c:pt idx="146">
                  <c:v>56.998722202134601</c:v>
                </c:pt>
                <c:pt idx="147">
                  <c:v>57.083944504783545</c:v>
                </c:pt>
                <c:pt idx="148">
                  <c:v>57.170400592390756</c:v>
                </c:pt>
                <c:pt idx="149">
                  <c:v>57.258069600282191</c:v>
                </c:pt>
                <c:pt idx="150">
                  <c:v>57.346931135982928</c:v>
                </c:pt>
                <c:pt idx="151">
                  <c:v>57.436965265820398</c:v>
                </c:pt>
                <c:pt idx="152">
                  <c:v>57.528152501984785</c:v>
                </c:pt>
                <c:pt idx="153">
                  <c:v>57.620473790028015</c:v>
                </c:pt>
                <c:pt idx="154">
                  <c:v>57.713910496784202</c:v>
                </c:pt>
                <c:pt idx="155">
                  <c:v>57.808444398694839</c:v>
                </c:pt>
                <c:pt idx="156">
                  <c:v>57.904057670523159</c:v>
                </c:pt>
                <c:pt idx="157">
                  <c:v>58.000732874441972</c:v>
                </c:pt>
                <c:pt idx="158">
                  <c:v>58.098452949481228</c:v>
                </c:pt>
                <c:pt idx="159">
                  <c:v>58.197201201320894</c:v>
                </c:pt>
                <c:pt idx="160">
                  <c:v>58.296961292416285</c:v>
                </c:pt>
                <c:pt idx="161">
                  <c:v>58.39771723244305</c:v>
                </c:pt>
                <c:pt idx="162">
                  <c:v>58.499453369049768</c:v>
                </c:pt>
                <c:pt idx="163">
                  <c:v>58.602154378906675</c:v>
                </c:pt>
                <c:pt idx="164">
                  <c:v>58.705805259039209</c:v>
                </c:pt>
                <c:pt idx="165">
                  <c:v>58.81039131843616</c:v>
                </c:pt>
                <c:pt idx="166">
                  <c:v>58.915898169921867</c:v>
                </c:pt>
                <c:pt idx="167">
                  <c:v>59.022311722283071</c:v>
                </c:pt>
                <c:pt idx="168">
                  <c:v>59.129618172640953</c:v>
                </c:pt>
                <c:pt idx="169">
                  <c:v>59.237803999059423</c:v>
                </c:pt>
                <c:pt idx="170">
                  <c:v>59.346855953381258</c:v>
                </c:pt>
                <c:pt idx="171">
                  <c:v>59.456761054283746</c:v>
                </c:pt>
                <c:pt idx="172">
                  <c:v>59.567506580546002</c:v>
                </c:pt>
                <c:pt idx="173">
                  <c:v>59.679080064520519</c:v>
                </c:pt>
                <c:pt idx="174">
                  <c:v>59.791469285801654</c:v>
                </c:pt>
                <c:pt idx="175">
                  <c:v>59.904662265084006</c:v>
                </c:pt>
                <c:pt idx="176">
                  <c:v>60.018647258204297</c:v>
                </c:pt>
                <c:pt idx="177">
                  <c:v>60.133412750360108</c:v>
                </c:pt>
                <c:pt idx="178">
                  <c:v>60.248947450499422</c:v>
                </c:pt>
                <c:pt idx="179">
                  <c:v>60.365240285875153</c:v>
                </c:pt>
                <c:pt idx="180">
                  <c:v>60.482280396758824</c:v>
                </c:pt>
                <c:pt idx="181">
                  <c:v>60.60005713130834</c:v>
                </c:pt>
                <c:pt idx="182">
                  <c:v>60.718560040583867</c:v>
                </c:pt>
                <c:pt idx="183">
                  <c:v>60.837778873707961</c:v>
                </c:pt>
                <c:pt idx="184">
                  <c:v>60.957703573163649</c:v>
                </c:pt>
                <c:pt idx="185">
                  <c:v>61.078324270227391</c:v>
                </c:pt>
                <c:pt idx="186">
                  <c:v>61.199631280531094</c:v>
                </c:pt>
                <c:pt idx="187">
                  <c:v>61.321615099749764</c:v>
                </c:pt>
                <c:pt idx="188">
                  <c:v>61.444266399410317</c:v>
                </c:pt>
                <c:pt idx="189">
                  <c:v>61.567576022817526</c:v>
                </c:pt>
                <c:pt idx="190">
                  <c:v>61.691534981093433</c:v>
                </c:pt>
                <c:pt idx="191">
                  <c:v>61.81613444932654</c:v>
                </c:pt>
                <c:pt idx="192">
                  <c:v>61.941365762827047</c:v>
                </c:pt>
                <c:pt idx="193">
                  <c:v>62.067220413484932</c:v>
                </c:pt>
                <c:pt idx="194">
                  <c:v>62.193690046227367</c:v>
                </c:pt>
                <c:pt idx="195">
                  <c:v>62.320766455572674</c:v>
                </c:pt>
                <c:pt idx="196">
                  <c:v>62.448441582277169</c:v>
                </c:pt>
                <c:pt idx="197">
                  <c:v>62.576707510072552</c:v>
                </c:pt>
                <c:pt idx="198">
                  <c:v>62.705556462490705</c:v>
                </c:pt>
                <c:pt idx="199">
                  <c:v>62.834980799773057</c:v>
                </c:pt>
                <c:pt idx="200">
                  <c:v>62.964973015862235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9C-4AA8-B027-F089379DDFE3}"/>
            </c:ext>
          </c:extLst>
        </c:ser>
        <c:ser>
          <c:idx val="1"/>
          <c:order val="1"/>
          <c:tx>
            <c:v>Low-side MOSFET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Calculations'!$BF$9:$BF$209</c:f>
              <c:numCache>
                <c:formatCode>0.0</c:formatCode>
                <c:ptCount val="201"/>
                <c:pt idx="0">
                  <c:v>68.306347310754489</c:v>
                </c:pt>
                <c:pt idx="1">
                  <c:v>66.48395952857129</c:v>
                </c:pt>
                <c:pt idx="2">
                  <c:v>64.753632483473382</c:v>
                </c:pt>
                <c:pt idx="3">
                  <c:v>63.108755448581043</c:v>
                </c:pt>
                <c:pt idx="4">
                  <c:v>61.543312749298394</c:v>
                </c:pt>
                <c:pt idx="5">
                  <c:v>60.051821275506725</c:v>
                </c:pt>
                <c:pt idx="6">
                  <c:v>58.629275249005772</c:v>
                </c:pt>
                <c:pt idx="7">
                  <c:v>57.271097372603251</c:v>
                </c:pt>
                <c:pt idx="8">
                  <c:v>55.973095584939834</c:v>
                </c:pt>
                <c:pt idx="9">
                  <c:v>54.731424736348742</c:v>
                </c:pt>
                <c:pt idx="10">
                  <c:v>53.542552584217098</c:v>
                </c:pt>
                <c:pt idx="11">
                  <c:v>52.403229580964229</c:v>
                </c:pt>
                <c:pt idx="12">
                  <c:v>51.310461994020471</c:v>
                </c:pt>
                <c:pt idx="13">
                  <c:v>50.261487955579284</c:v>
                </c:pt>
                <c:pt idx="14">
                  <c:v>49.253756091065256</c:v>
                </c:pt>
                <c:pt idx="15">
                  <c:v>48.284906419938174</c:v>
                </c:pt>
                <c:pt idx="16">
                  <c:v>47.3527532613682</c:v>
                </c:pt>
                <c:pt idx="17">
                  <c:v>46.455269911152833</c:v>
                </c:pt>
                <c:pt idx="18">
                  <c:v>45.590574885642809</c:v>
                </c:pt>
                <c:pt idx="19">
                  <c:v>44.756919553970612</c:v>
                </c:pt>
                <c:pt idx="20">
                  <c:v>43.952677002042691</c:v>
                </c:pt>
                <c:pt idx="21">
                  <c:v>43.176331991011033</c:v>
                </c:pt>
                <c:pt idx="22">
                  <c:v>42.426471889676151</c:v>
                </c:pt>
                <c:pt idx="23">
                  <c:v>41.701778474828409</c:v>
                </c:pt>
                <c:pt idx="24">
                  <c:v>41.001020506208604</c:v>
                </c:pt>
                <c:pt idx="25">
                  <c:v>40.323046993810543</c:v>
                </c:pt>
                <c:pt idx="26">
                  <c:v>39.666781084884128</c:v>
                </c:pt>
                <c:pt idx="27">
                  <c:v>39.031214506413193</c:v>
                </c:pt>
                <c:pt idx="28">
                  <c:v>38.415402506203208</c:v>
                </c:pt>
                <c:pt idx="29">
                  <c:v>37.818459242158156</c:v>
                </c:pt>
                <c:pt idx="30">
                  <c:v>37.239553574980192</c:v>
                </c:pt>
                <c:pt idx="31">
                  <c:v>36.677905224486231</c:v>
                </c:pt>
                <c:pt idx="32">
                  <c:v>36.132781254100713</c:v>
                </c:pt>
                <c:pt idx="33">
                  <c:v>35.603492851925054</c:v>
                </c:pt>
                <c:pt idx="34">
                  <c:v>24.085314753706974</c:v>
                </c:pt>
                <c:pt idx="35">
                  <c:v>23.737860399409627</c:v>
                </c:pt>
                <c:pt idx="36">
                  <c:v>23.400313408345081</c:v>
                </c:pt>
                <c:pt idx="37">
                  <c:v>23.072359976315219</c:v>
                </c:pt>
                <c:pt idx="38">
                  <c:v>22.753712690098983</c:v>
                </c:pt>
                <c:pt idx="39">
                  <c:v>22.444109190369208</c:v>
                </c:pt>
                <c:pt idx="40">
                  <c:v>22.138256699494011</c:v>
                </c:pt>
                <c:pt idx="41">
                  <c:v>8.2599506099296693</c:v>
                </c:pt>
                <c:pt idx="42">
                  <c:v>8.7964178753274158</c:v>
                </c:pt>
                <c:pt idx="43">
                  <c:v>9.3223597132032179</c:v>
                </c:pt>
                <c:pt idx="44">
                  <c:v>9.8381719315367899</c:v>
                </c:pt>
                <c:pt idx="45">
                  <c:v>10.344227447771551</c:v>
                </c:pt>
                <c:pt idx="46">
                  <c:v>10.840877993560953</c:v>
                </c:pt>
                <c:pt idx="47">
                  <c:v>11.328455671181976</c:v>
                </c:pt>
                <c:pt idx="48">
                  <c:v>11.807274375993071</c:v>
                </c:pt>
                <c:pt idx="49">
                  <c:v>12.27763109780142</c:v>
                </c:pt>
                <c:pt idx="50">
                  <c:v>12.739807112661339</c:v>
                </c:pt>
                <c:pt idx="51">
                  <c:v>16.934819568464928</c:v>
                </c:pt>
                <c:pt idx="52">
                  <c:v>17.365789128809258</c:v>
                </c:pt>
                <c:pt idx="53">
                  <c:v>17.78905400350709</c:v>
                </c:pt>
                <c:pt idx="54">
                  <c:v>18.204832368971203</c:v>
                </c:pt>
                <c:pt idx="55">
                  <c:v>18.613333697663705</c:v>
                </c:pt>
                <c:pt idx="56">
                  <c:v>19.014759212190903</c:v>
                </c:pt>
                <c:pt idx="57">
                  <c:v>19.40930231012452</c:v>
                </c:pt>
                <c:pt idx="58">
                  <c:v>19.797148961780479</c:v>
                </c:pt>
                <c:pt idx="59">
                  <c:v>20.178478082991543</c:v>
                </c:pt>
                <c:pt idx="60">
                  <c:v>20.553461884734997</c:v>
                </c:pt>
                <c:pt idx="61">
                  <c:v>20.922266201317914</c:v>
                </c:pt>
                <c:pt idx="62">
                  <c:v>21.285050798678789</c:v>
                </c:pt>
                <c:pt idx="63">
                  <c:v>21.641969664234647</c:v>
                </c:pt>
                <c:pt idx="64">
                  <c:v>21.993171279584743</c:v>
                </c:pt>
                <c:pt idx="65">
                  <c:v>22.338798877274886</c:v>
                </c:pt>
                <c:pt idx="66">
                  <c:v>22.678990682729442</c:v>
                </c:pt>
                <c:pt idx="67">
                  <c:v>23.013880142369526</c:v>
                </c:pt>
                <c:pt idx="68">
                  <c:v>23.343596138855343</c:v>
                </c:pt>
                <c:pt idx="69">
                  <c:v>23.668263194317412</c:v>
                </c:pt>
                <c:pt idx="70">
                  <c:v>23.988001662374614</c:v>
                </c:pt>
                <c:pt idx="71">
                  <c:v>24.30292790967551</c:v>
                </c:pt>
                <c:pt idx="72">
                  <c:v>24.613154487643929</c:v>
                </c:pt>
                <c:pt idx="73">
                  <c:v>24.91879029505877</c:v>
                </c:pt>
                <c:pt idx="74">
                  <c:v>25.219940732050766</c:v>
                </c:pt>
                <c:pt idx="75">
                  <c:v>25.516707846056651</c:v>
                </c:pt>
                <c:pt idx="76">
                  <c:v>25.809190470231609</c:v>
                </c:pt>
                <c:pt idx="77">
                  <c:v>26.09748435478474</c:v>
                </c:pt>
                <c:pt idx="78">
                  <c:v>26.381682291669286</c:v>
                </c:pt>
                <c:pt idx="79">
                  <c:v>26.661874233028875</c:v>
                </c:pt>
                <c:pt idx="80">
                  <c:v>26.938147403772948</c:v>
                </c:pt>
                <c:pt idx="81">
                  <c:v>27.210586408628579</c:v>
                </c:pt>
                <c:pt idx="82">
                  <c:v>27.47927333399242</c:v>
                </c:pt>
                <c:pt idx="83">
                  <c:v>27.744287844884276</c:v>
                </c:pt>
                <c:pt idx="84">
                  <c:v>28.005707277283388</c:v>
                </c:pt>
                <c:pt idx="85">
                  <c:v>28.263606726110378</c:v>
                </c:pt>
                <c:pt idx="86">
                  <c:v>28.518059129099889</c:v>
                </c:pt>
                <c:pt idx="87">
                  <c:v>28.769135346792901</c:v>
                </c:pt>
                <c:pt idx="88">
                  <c:v>29.016904238863596</c:v>
                </c:pt>
                <c:pt idx="89">
                  <c:v>29.261432736980968</c:v>
                </c:pt>
                <c:pt idx="90">
                  <c:v>29.502785914393382</c:v>
                </c:pt>
                <c:pt idx="91">
                  <c:v>29.741027052411695</c:v>
                </c:pt>
                <c:pt idx="92">
                  <c:v>29.976217703956625</c:v>
                </c:pt>
                <c:pt idx="93">
                  <c:v>30.208417754324518</c:v>
                </c:pt>
                <c:pt idx="94">
                  <c:v>30.437685479317434</c:v>
                </c:pt>
                <c:pt idx="95">
                  <c:v>30.664077600873874</c:v>
                </c:pt>
                <c:pt idx="96">
                  <c:v>30.887649340328306</c:v>
                </c:pt>
                <c:pt idx="97">
                  <c:v>31.108454469420426</c:v>
                </c:pt>
                <c:pt idx="98">
                  <c:v>31.326545359167557</c:v>
                </c:pt>
                <c:pt idx="99">
                  <c:v>31.541973026706906</c:v>
                </c:pt>
                <c:pt idx="100">
                  <c:v>31.754787180208549</c:v>
                </c:pt>
                <c:pt idx="101">
                  <c:v>31.965036261953873</c:v>
                </c:pt>
                <c:pt idx="102">
                  <c:v>32.1727674896689</c:v>
                </c:pt>
                <c:pt idx="103">
                  <c:v>32.378026896196779</c:v>
                </c:pt>
                <c:pt idx="104">
                  <c:v>32.580859367589248</c:v>
                </c:pt>
                <c:pt idx="105">
                  <c:v>32.781308679692046</c:v>
                </c:pt>
                <c:pt idx="106">
                  <c:v>32.979417533295347</c:v>
                </c:pt>
                <c:pt idx="107">
                  <c:v>33.175227587916304</c:v>
                </c:pt>
                <c:pt idx="108">
                  <c:v>33.368779494277341</c:v>
                </c:pt>
                <c:pt idx="109">
                  <c:v>33.56011292553994</c:v>
                </c:pt>
                <c:pt idx="110">
                  <c:v>33.749266607351011</c:v>
                </c:pt>
                <c:pt idx="111">
                  <c:v>33.9362783467555</c:v>
                </c:pt>
                <c:pt idx="112">
                  <c:v>34.121185060026264</c:v>
                </c:pt>
                <c:pt idx="113">
                  <c:v>34.304022799459489</c:v>
                </c:pt>
                <c:pt idx="114">
                  <c:v>34.484826779181567</c:v>
                </c:pt>
                <c:pt idx="115">
                  <c:v>34.663631400010537</c:v>
                </c:pt>
                <c:pt idx="116">
                  <c:v>34.84047027341385</c:v>
                </c:pt>
                <c:pt idx="117">
                  <c:v>35.015376244601107</c:v>
                </c:pt>
                <c:pt idx="118">
                  <c:v>35.188381414789077</c:v>
                </c:pt>
                <c:pt idx="119">
                  <c:v>35.359517162674422</c:v>
                </c:pt>
                <c:pt idx="120">
                  <c:v>35.528814165147601</c:v>
                </c:pt>
                <c:pt idx="121">
                  <c:v>35.696302417279725</c:v>
                </c:pt>
                <c:pt idx="122">
                  <c:v>35.862011251612955</c:v>
                </c:pt>
                <c:pt idx="123">
                  <c:v>36.025969356783079</c:v>
                </c:pt>
                <c:pt idx="124">
                  <c:v>36.188204795501939</c:v>
                </c:pt>
                <c:pt idx="125">
                  <c:v>36.34874502192563</c:v>
                </c:pt>
                <c:pt idx="126">
                  <c:v>36.507616898433739</c:v>
                </c:pt>
                <c:pt idx="127">
                  <c:v>36.66484671184304</c:v>
                </c:pt>
                <c:pt idx="128">
                  <c:v>36.82046018907841</c:v>
                </c:pt>
                <c:pt idx="129">
                  <c:v>36.974482512322638</c:v>
                </c:pt>
                <c:pt idx="130">
                  <c:v>37.126938333665535</c:v>
                </c:pt>
                <c:pt idx="131">
                  <c:v>37.277851789272134</c:v>
                </c:pt>
                <c:pt idx="132">
                  <c:v>37.427246513088669</c:v>
                </c:pt>
                <c:pt idx="133">
                  <c:v>37.575145650104155</c:v>
                </c:pt>
                <c:pt idx="134">
                  <c:v>37.721571869184743</c:v>
                </c:pt>
                <c:pt idx="135">
                  <c:v>37.866547375497383</c:v>
                </c:pt>
                <c:pt idx="136">
                  <c:v>38.010093922537791</c:v>
                </c:pt>
                <c:pt idx="137">
                  <c:v>38.15223282377837</c:v>
                </c:pt>
                <c:pt idx="138">
                  <c:v>38.292984963949877</c:v>
                </c:pt>
                <c:pt idx="139">
                  <c:v>38.432370809970621</c:v>
                </c:pt>
                <c:pt idx="140">
                  <c:v>38.57041042153616</c:v>
                </c:pt>
                <c:pt idx="141">
                  <c:v>38.707123461382274</c:v>
                </c:pt>
                <c:pt idx="142">
                  <c:v>38.842529205232701</c:v>
                </c:pt>
                <c:pt idx="143">
                  <c:v>38.976646551443508</c:v>
                </c:pt>
                <c:pt idx="144">
                  <c:v>39.109494030354945</c:v>
                </c:pt>
                <c:pt idx="145">
                  <c:v>39.241089813361064</c:v>
                </c:pt>
                <c:pt idx="146">
                  <c:v>39.371451721707551</c:v>
                </c:pt>
                <c:pt idx="147">
                  <c:v>39.500597235027094</c:v>
                </c:pt>
                <c:pt idx="148">
                  <c:v>39.628543499621813</c:v>
                </c:pt>
                <c:pt idx="149">
                  <c:v>39.755307336501424</c:v>
                </c:pt>
                <c:pt idx="150">
                  <c:v>39.88090524918573</c:v>
                </c:pt>
                <c:pt idx="151">
                  <c:v>40.00535343127963</c:v>
                </c:pt>
                <c:pt idx="152">
                  <c:v>40.128667773828532</c:v>
                </c:pt>
                <c:pt idx="153">
                  <c:v>40.250863872461515</c:v>
                </c:pt>
                <c:pt idx="154">
                  <c:v>40.371957034329782</c:v>
                </c:pt>
                <c:pt idx="155">
                  <c:v>40.491962284846934</c:v>
                </c:pt>
                <c:pt idx="156">
                  <c:v>40.610894374238313</c:v>
                </c:pt>
                <c:pt idx="157">
                  <c:v>40.728767783905127</c:v>
                </c:pt>
                <c:pt idx="158">
                  <c:v>40.845596732610119</c:v>
                </c:pt>
                <c:pt idx="159">
                  <c:v>40.961395182490406</c:v>
                </c:pt>
                <c:pt idx="160">
                  <c:v>41.076176844903259</c:v>
                </c:pt>
                <c:pt idx="161">
                  <c:v>41.189955186110332</c:v>
                </c:pt>
                <c:pt idx="162">
                  <c:v>41.302743432805485</c:v>
                </c:pt>
                <c:pt idx="163">
                  <c:v>41.414554577491486</c:v>
                </c:pt>
                <c:pt idx="164">
                  <c:v>41.525401383710317</c:v>
                </c:pt>
                <c:pt idx="165">
                  <c:v>41.635296391131838</c:v>
                </c:pt>
                <c:pt idx="166">
                  <c:v>41.744251920505249</c:v>
                </c:pt>
                <c:pt idx="167">
                  <c:v>41.852280078478003</c:v>
                </c:pt>
                <c:pt idx="168">
                  <c:v>41.959392762285944</c:v>
                </c:pt>
                <c:pt idx="169">
                  <c:v>42.065601664318919</c:v>
                </c:pt>
                <c:pt idx="170">
                  <c:v>42.170918276565999</c:v>
                </c:pt>
                <c:pt idx="171">
                  <c:v>42.275353894943649</c:v>
                </c:pt>
                <c:pt idx="172">
                  <c:v>42.378919623510626</c:v>
                </c:pt>
                <c:pt idx="173">
                  <c:v>42.481626378573303</c:v>
                </c:pt>
                <c:pt idx="174">
                  <c:v>42.583484892684517</c:v>
                </c:pt>
                <c:pt idx="175">
                  <c:v>42.684505718539199</c:v>
                </c:pt>
                <c:pt idx="176">
                  <c:v>42.784699232770208</c:v>
                </c:pt>
                <c:pt idx="177">
                  <c:v>42.884075639647023</c:v>
                </c:pt>
                <c:pt idx="178">
                  <c:v>42.982644974680497</c:v>
                </c:pt>
                <c:pt idx="179">
                  <c:v>43.080417108136274</c:v>
                </c:pt>
                <c:pt idx="180">
                  <c:v>43.177401748459722</c:v>
                </c:pt>
                <c:pt idx="181">
                  <c:v>43.273608445615096</c:v>
                </c:pt>
                <c:pt idx="182">
                  <c:v>43.369046594341079</c:v>
                </c:pt>
                <c:pt idx="183">
                  <c:v>43.46372543732582</c:v>
                </c:pt>
                <c:pt idx="184">
                  <c:v>43.557654068302952</c:v>
                </c:pt>
                <c:pt idx="185">
                  <c:v>43.650841435071769</c:v>
                </c:pt>
                <c:pt idx="186">
                  <c:v>43.743296342443109</c:v>
                </c:pt>
                <c:pt idx="187">
                  <c:v>43.835027455113497</c:v>
                </c:pt>
                <c:pt idx="188">
                  <c:v>43.926043300469317</c:v>
                </c:pt>
                <c:pt idx="189">
                  <c:v>44.016352271323228</c:v>
                </c:pt>
                <c:pt idx="190">
                  <c:v>44.105962628584649</c:v>
                </c:pt>
                <c:pt idx="191">
                  <c:v>44.194882503866118</c:v>
                </c:pt>
                <c:pt idx="192">
                  <c:v>44.283119902027558</c:v>
                </c:pt>
                <c:pt idx="193">
                  <c:v>44.370682703659995</c:v>
                </c:pt>
                <c:pt idx="194">
                  <c:v>44.457578667510333</c:v>
                </c:pt>
                <c:pt idx="195">
                  <c:v>44.543815432849236</c:v>
                </c:pt>
                <c:pt idx="196">
                  <c:v>44.629400521783239</c:v>
                </c:pt>
                <c:pt idx="197">
                  <c:v>44.714341341512778</c:v>
                </c:pt>
                <c:pt idx="198">
                  <c:v>44.798645186537875</c:v>
                </c:pt>
                <c:pt idx="199">
                  <c:v>44.882319240812457</c:v>
                </c:pt>
                <c:pt idx="200">
                  <c:v>44.965370579849157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9C-4AA8-B027-F089379DD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47648"/>
        <c:axId val="141949568"/>
      </c:scatterChart>
      <c:valAx>
        <c:axId val="14194764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052333022741466"/>
              <c:y val="0.937985266634570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949568"/>
        <c:crosses val="autoZero"/>
        <c:crossBetween val="midCat"/>
      </c:valAx>
      <c:valAx>
        <c:axId val="14194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Temperature (</a:t>
                </a:r>
                <a:r>
                  <a:rPr lang="en-US" sz="1100">
                    <a:sym typeface="Symbol"/>
                  </a:rPr>
                  <a:t></a:t>
                </a:r>
                <a:r>
                  <a:rPr lang="en-US" sz="1100"/>
                  <a:t>C)</a:t>
                </a:r>
              </a:p>
            </c:rich>
          </c:tx>
          <c:layout>
            <c:manualLayout>
              <c:xMode val="edge"/>
              <c:yMode val="edge"/>
              <c:x val="1.3813487878384515E-2"/>
              <c:y val="0.40384993295956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947648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6235382341913138"/>
          <c:y val="3.6399592062826468E-2"/>
          <c:w val="0.19862061359977062"/>
          <c:h val="8.282849492298320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MOSFET &amp;</a:t>
            </a:r>
            <a:r>
              <a:rPr lang="en-US" sz="1200" baseline="0"/>
              <a:t> Inductor</a:t>
            </a:r>
            <a:r>
              <a:rPr lang="en-US" sz="1200"/>
              <a:t> Power Dissipation</a:t>
            </a:r>
          </a:p>
        </c:rich>
      </c:tx>
      <c:layout>
        <c:manualLayout>
          <c:xMode val="edge"/>
          <c:yMode val="edge"/>
          <c:x val="0.3164215172691891"/>
          <c:y val="3.56182795698924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0636942675162"/>
          <c:y val="0.15927440521547717"/>
          <c:w val="0.8471337579617837"/>
          <c:h val="0.70362972493790654"/>
        </c:manualLayout>
      </c:layout>
      <c:scatterChart>
        <c:scatterStyle val="lineMarker"/>
        <c:varyColors val="0"/>
        <c:ser>
          <c:idx val="2"/>
          <c:order val="0"/>
          <c:tx>
            <c:v>High-side MOSFET</c:v>
          </c:tx>
          <c:spPr>
            <a:ln w="2540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Calculations'!$AE$9:$AE$209</c:f>
              <c:numCache>
                <c:formatCode>0.000</c:formatCode>
                <c:ptCount val="201"/>
                <c:pt idx="0">
                  <c:v>21.493393590971628</c:v>
                </c:pt>
                <c:pt idx="1">
                  <c:v>16.950306014016746</c:v>
                </c:pt>
                <c:pt idx="2">
                  <c:v>13.932720578704602</c:v>
                </c:pt>
                <c:pt idx="3">
                  <c:v>11.784318112232176</c:v>
                </c:pt>
                <c:pt idx="4">
                  <c:v>10.177988868676684</c:v>
                </c:pt>
                <c:pt idx="5">
                  <c:v>8.9324215308284334</c:v>
                </c:pt>
                <c:pt idx="6">
                  <c:v>7.9390184628963771</c:v>
                </c:pt>
                <c:pt idx="7">
                  <c:v>7.1287674564456989</c:v>
                </c:pt>
                <c:pt idx="8">
                  <c:v>6.4557126800946012</c:v>
                </c:pt>
                <c:pt idx="9">
                  <c:v>5.8880693387560843</c:v>
                </c:pt>
                <c:pt idx="10">
                  <c:v>5.4031532549443524</c:v>
                </c:pt>
                <c:pt idx="11">
                  <c:v>4.984342060991807</c:v>
                </c:pt>
                <c:pt idx="12">
                  <c:v>4.6191777613862532</c:v>
                </c:pt>
                <c:pt idx="13">
                  <c:v>4.2981399868782377</c:v>
                </c:pt>
                <c:pt idx="14">
                  <c:v>4.0138287474163183</c:v>
                </c:pt>
                <c:pt idx="15">
                  <c:v>3.7604056138933055</c:v>
                </c:pt>
                <c:pt idx="16">
                  <c:v>3.5332027634113268</c:v>
                </c:pt>
                <c:pt idx="17">
                  <c:v>3.328443865563687</c:v>
                </c:pt>
                <c:pt idx="18">
                  <c:v>3.1430411825782794</c:v>
                </c:pt>
                <c:pt idx="19">
                  <c:v>2.9744456619190087</c:v>
                </c:pt>
                <c:pt idx="20">
                  <c:v>2.8205345486159694</c:v>
                </c:pt>
                <c:pt idx="21">
                  <c:v>2.6795260009135693</c:v>
                </c:pt>
                <c:pt idx="22">
                  <c:v>2.5499134318197827</c:v>
                </c:pt>
                <c:pt idx="23">
                  <c:v>2.4304144574529216</c:v>
                </c:pt>
                <c:pt idx="24">
                  <c:v>2.3199307970222307</c:v>
                </c:pt>
                <c:pt idx="25">
                  <c:v>2.2175164784936521</c:v>
                </c:pt>
                <c:pt idx="26">
                  <c:v>2.1223524101856417</c:v>
                </c:pt>
                <c:pt idx="27">
                  <c:v>2.0337258795409459</c:v>
                </c:pt>
                <c:pt idx="28">
                  <c:v>1.9510139003021634</c:v>
                </c:pt>
                <c:pt idx="29">
                  <c:v>1.8736695910478312</c:v>
                </c:pt>
                <c:pt idx="30">
                  <c:v>1.8012109604413062</c:v>
                </c:pt>
                <c:pt idx="31">
                  <c:v>1.7332116174305792</c:v>
                </c:pt>
                <c:pt idx="32">
                  <c:v>1.6692930317760732</c:v>
                </c:pt>
                <c:pt idx="33">
                  <c:v>1.6091180513431929</c:v>
                </c:pt>
                <c:pt idx="34">
                  <c:v>1.3277734897959863</c:v>
                </c:pt>
                <c:pt idx="35">
                  <c:v>1.2857432042231907</c:v>
                </c:pt>
                <c:pt idx="36">
                  <c:v>1.2459037770125954</c:v>
                </c:pt>
                <c:pt idx="37">
                  <c:v>1.2081066943100791</c:v>
                </c:pt>
                <c:pt idx="38">
                  <c:v>1.1722172823691974</c:v>
                </c:pt>
                <c:pt idx="39">
                  <c:v>1.1381132042656523</c:v>
                </c:pt>
                <c:pt idx="40">
                  <c:v>1.1052963307954919</c:v>
                </c:pt>
                <c:pt idx="41">
                  <c:v>1.0908017286498595</c:v>
                </c:pt>
                <c:pt idx="42">
                  <c:v>1.0768096399469054</c:v>
                </c:pt>
                <c:pt idx="43">
                  <c:v>1.0633128837720642</c:v>
                </c:pt>
                <c:pt idx="44">
                  <c:v>1.0502850445106759</c:v>
                </c:pt>
                <c:pt idx="45">
                  <c:v>1.0377015931413345</c:v>
                </c:pt>
                <c:pt idx="46">
                  <c:v>1.0255397221840021</c:v>
                </c:pt>
                <c:pt idx="47">
                  <c:v>1.0137781975084657</c:v>
                </c:pt>
                <c:pt idx="48">
                  <c:v>1.0023972250478235</c:v>
                </c:pt>
                <c:pt idx="49">
                  <c:v>0.99137833071446269</c:v>
                </c:pt>
                <c:pt idx="50">
                  <c:v>0.98070425203283806</c:v>
                </c:pt>
                <c:pt idx="51">
                  <c:v>1.0175086336210473</c:v>
                </c:pt>
                <c:pt idx="52">
                  <c:v>1.0083445081238605</c:v>
                </c:pt>
                <c:pt idx="53">
                  <c:v>0.99945562548926958</c:v>
                </c:pt>
                <c:pt idx="54">
                  <c:v>0.99083117974811297</c:v>
                </c:pt>
                <c:pt idx="55">
                  <c:v>0.98246093512215382</c:v>
                </c:pt>
                <c:pt idx="56">
                  <c:v>0.97433518841736932</c:v>
                </c:pt>
                <c:pt idx="57">
                  <c:v>0.96644473437628076</c:v>
                </c:pt>
                <c:pt idx="58">
                  <c:v>0.95878083372027956</c:v>
                </c:pt>
                <c:pt idx="59">
                  <c:v>0.95133518364056069</c:v>
                </c:pt>
                <c:pt idx="60">
                  <c:v>0.94409989052072218</c:v>
                </c:pt>
                <c:pt idx="61">
                  <c:v>0.93706744469582914</c:v>
                </c:pt>
                <c:pt idx="62">
                  <c:v>0.93023069707202011</c:v>
                </c:pt>
                <c:pt idx="63">
                  <c:v>0.92358283744793945</c:v>
                </c:pt>
                <c:pt idx="64">
                  <c:v>0.91711737439457985</c:v>
                </c:pt>
                <c:pt idx="65">
                  <c:v>0.91082811656378804</c:v>
                </c:pt>
                <c:pt idx="66">
                  <c:v>0.90470915530792839</c:v>
                </c:pt>
                <c:pt idx="67">
                  <c:v>0.89875484850412724</c:v>
                </c:pt>
                <c:pt idx="68">
                  <c:v>0.89295980548632303</c:v>
                </c:pt>
                <c:pt idx="69">
                  <c:v>0.88731887299717915</c:v>
                </c:pt>
                <c:pt idx="70">
                  <c:v>0.88182712207979441</c:v>
                </c:pt>
                <c:pt idx="71">
                  <c:v>0.87647983583628775</c:v>
                </c:pt>
                <c:pt idx="72">
                  <c:v>0.87127249798674411</c:v>
                </c:pt>
                <c:pt idx="73">
                  <c:v>0.86620078216778928</c:v>
                </c:pt>
                <c:pt idx="74">
                  <c:v>0.86126054191529422</c:v>
                </c:pt>
                <c:pt idx="75">
                  <c:v>0.85644780128042575</c:v>
                </c:pt>
                <c:pt idx="76">
                  <c:v>0.85175874603254298</c:v>
                </c:pt>
                <c:pt idx="77">
                  <c:v>0.84718971540630872</c:v>
                </c:pt>
                <c:pt idx="78">
                  <c:v>0.84273719435390715</c:v>
                </c:pt>
                <c:pt idx="79">
                  <c:v>0.83839780626643567</c:v>
                </c:pt>
                <c:pt idx="80">
                  <c:v>0.83416830613146142</c:v>
                </c:pt>
                <c:pt idx="81">
                  <c:v>0.83004557409634883</c:v>
                </c:pt>
                <c:pt idx="82">
                  <c:v>0.82602660940938522</c:v>
                </c:pt>
                <c:pt idx="83">
                  <c:v>0.82210852471292351</c:v>
                </c:pt>
                <c:pt idx="84">
                  <c:v>0.81828854066473944</c:v>
                </c:pt>
                <c:pt idx="85">
                  <c:v>0.81456398086566562</c:v>
                </c:pt>
                <c:pt idx="86">
                  <c:v>0.81093226707319244</c:v>
                </c:pt>
                <c:pt idx="87">
                  <c:v>0.80739091468229007</c:v>
                </c:pt>
                <c:pt idx="88">
                  <c:v>0.80393752845607769</c:v>
                </c:pt>
                <c:pt idx="89">
                  <c:v>0.8005697984902711</c:v>
                </c:pt>
                <c:pt idx="90">
                  <c:v>0.79728549639650093</c:v>
                </c:pt>
                <c:pt idx="91">
                  <c:v>0.79408247169068591</c:v>
                </c:pt>
                <c:pt idx="92">
                  <c:v>0.79095864837362218</c:v>
                </c:pt>
                <c:pt idx="93">
                  <c:v>0.78791202169189156</c:v>
                </c:pt>
                <c:pt idx="94">
                  <c:v>0.78494065506799571</c:v>
                </c:pt>
                <c:pt idx="95">
                  <c:v>0.78204267718943332</c:v>
                </c:pt>
                <c:pt idx="96">
                  <c:v>0.77921627924711945</c:v>
                </c:pt>
                <c:pt idx="97">
                  <c:v>0.77645971231423183</c:v>
                </c:pt>
                <c:pt idx="98">
                  <c:v>0.77377128485715363</c:v>
                </c:pt>
                <c:pt idx="99">
                  <c:v>0.77114936037076487</c:v>
                </c:pt>
                <c:pt idx="100">
                  <c:v>0.76859235513083068</c:v>
                </c:pt>
                <c:pt idx="101">
                  <c:v>0.76609873605673817</c:v>
                </c:pt>
                <c:pt idx="102">
                  <c:v>0.76366701867826048</c:v>
                </c:pt>
                <c:pt idx="103">
                  <c:v>0.76129576520044873</c:v>
                </c:pt>
                <c:pt idx="104">
                  <c:v>0.75898358266112775</c:v>
                </c:pt>
                <c:pt idx="105">
                  <c:v>0.75672912117582991</c:v>
                </c:pt>
                <c:pt idx="106">
                  <c:v>0.75453107226532934</c:v>
                </c:pt>
                <c:pt idx="107">
                  <c:v>0.75238816726124058</c:v>
                </c:pt>
                <c:pt idx="108">
                  <c:v>0.75029917578543559</c:v>
                </c:pt>
                <c:pt idx="109">
                  <c:v>0.74826290429929054</c:v>
                </c:pt>
                <c:pt idx="110">
                  <c:v>0.74627819471902179</c:v>
                </c:pt>
                <c:pt idx="111">
                  <c:v>0.74434392309360331</c:v>
                </c:pt>
                <c:pt idx="112">
                  <c:v>0.74245899834195705</c:v>
                </c:pt>
                <c:pt idx="113">
                  <c:v>0.74062236104633039</c:v>
                </c:pt>
                <c:pt idx="114">
                  <c:v>0.73883298229892669</c:v>
                </c:pt>
                <c:pt idx="115">
                  <c:v>0.73708986259906417</c:v>
                </c:pt>
                <c:pt idx="116">
                  <c:v>0.73539203079826532</c:v>
                </c:pt>
                <c:pt idx="117">
                  <c:v>0.73373854309085718</c:v>
                </c:pt>
                <c:pt idx="118">
                  <c:v>0.73212848204778502</c:v>
                </c:pt>
                <c:pt idx="119">
                  <c:v>0.73056095569148394</c:v>
                </c:pt>
                <c:pt idx="120">
                  <c:v>0.72903509660976917</c:v>
                </c:pt>
                <c:pt idx="121">
                  <c:v>0.72755006110682885</c:v>
                </c:pt>
                <c:pt idx="122">
                  <c:v>0.72610502838950064</c:v>
                </c:pt>
                <c:pt idx="123">
                  <c:v>0.7246991997871266</c:v>
                </c:pt>
                <c:pt idx="124">
                  <c:v>0.72333179800336367</c:v>
                </c:pt>
                <c:pt idx="125">
                  <c:v>0.72200206639842734</c:v>
                </c:pt>
                <c:pt idx="126">
                  <c:v>0.72070926830031679</c:v>
                </c:pt>
                <c:pt idx="127">
                  <c:v>0.71945268634366477</c:v>
                </c:pt>
                <c:pt idx="128">
                  <c:v>0.71823162183490863</c:v>
                </c:pt>
                <c:pt idx="129">
                  <c:v>0.71704539414256729</c:v>
                </c:pt>
                <c:pt idx="130">
                  <c:v>0.71589334011146055</c:v>
                </c:pt>
                <c:pt idx="131">
                  <c:v>0.71477481349977634</c:v>
                </c:pt>
                <c:pt idx="132">
                  <c:v>0.71368918443794216</c:v>
                </c:pt>
                <c:pt idx="133">
                  <c:v>0.71263583890831705</c:v>
                </c:pt>
                <c:pt idx="134">
                  <c:v>0.71161417824476914</c:v>
                </c:pt>
                <c:pt idx="135">
                  <c:v>0.71062361865124923</c:v>
                </c:pt>
                <c:pt idx="136">
                  <c:v>0.70966359073852225</c:v>
                </c:pt>
                <c:pt idx="137">
                  <c:v>0.70873353907824954</c:v>
                </c:pt>
                <c:pt idx="138">
                  <c:v>0.70783292177367652</c:v>
                </c:pt>
                <c:pt idx="139">
                  <c:v>0.70696121004618639</c:v>
                </c:pt>
                <c:pt idx="140">
                  <c:v>0.70611788783705054</c:v>
                </c:pt>
                <c:pt idx="141">
                  <c:v>0.70530245142371784</c:v>
                </c:pt>
                <c:pt idx="142">
                  <c:v>0.70451440905001694</c:v>
                </c:pt>
                <c:pt idx="143">
                  <c:v>0.70375328056969244</c:v>
                </c:pt>
                <c:pt idx="144">
                  <c:v>0.7030185971027112</c:v>
                </c:pt>
                <c:pt idx="145">
                  <c:v>0.70230990070379584</c:v>
                </c:pt>
                <c:pt idx="146">
                  <c:v>0.70162674404269199</c:v>
                </c:pt>
                <c:pt idx="147">
                  <c:v>0.70096869009567087</c:v>
                </c:pt>
                <c:pt idx="148">
                  <c:v>0.70033531184781506</c:v>
                </c:pt>
                <c:pt idx="149">
                  <c:v>0.6997261920056439</c:v>
                </c:pt>
                <c:pt idx="150">
                  <c:v>0.69914092271965844</c:v>
                </c:pt>
                <c:pt idx="151">
                  <c:v>0.69857910531640788</c:v>
                </c:pt>
                <c:pt idx="152">
                  <c:v>0.69804035003969578</c:v>
                </c:pt>
                <c:pt idx="153">
                  <c:v>0.69752427580056042</c:v>
                </c:pt>
                <c:pt idx="154">
                  <c:v>0.69703050993568405</c:v>
                </c:pt>
                <c:pt idx="155">
                  <c:v>0.69655868797389686</c:v>
                </c:pt>
                <c:pt idx="156">
                  <c:v>0.69610845341046301</c:v>
                </c:pt>
                <c:pt idx="157">
                  <c:v>0.69567945748883941</c:v>
                </c:pt>
                <c:pt idx="158">
                  <c:v>0.69527135898962444</c:v>
                </c:pt>
                <c:pt idx="159">
                  <c:v>0.6948838240264178</c:v>
                </c:pt>
                <c:pt idx="160">
                  <c:v>0.69451652584832557</c:v>
                </c:pt>
                <c:pt idx="161">
                  <c:v>0.69416914464886093</c:v>
                </c:pt>
                <c:pt idx="162">
                  <c:v>0.69384136738099533</c:v>
                </c:pt>
                <c:pt idx="163">
                  <c:v>0.69353288757813358</c:v>
                </c:pt>
                <c:pt idx="164">
                  <c:v>0.6932434051807842</c:v>
                </c:pt>
                <c:pt idx="165">
                  <c:v>0.69297262636872325</c:v>
                </c:pt>
                <c:pt idx="166">
                  <c:v>0.6927202633984374</c:v>
                </c:pt>
                <c:pt idx="167">
                  <c:v>0.69248603444566148</c:v>
                </c:pt>
                <c:pt idx="168">
                  <c:v>0.69226966345281915</c:v>
                </c:pt>
                <c:pt idx="169">
                  <c:v>0.69207087998118855</c:v>
                </c:pt>
                <c:pt idx="170">
                  <c:v>0.69188941906762524</c:v>
                </c:pt>
                <c:pt idx="171">
                  <c:v>0.69172502108567491</c:v>
                </c:pt>
                <c:pt idx="172">
                  <c:v>0.69157743161092</c:v>
                </c:pt>
                <c:pt idx="173">
                  <c:v>0.69144640129041035</c:v>
                </c:pt>
                <c:pt idx="174">
                  <c:v>0.69133168571603298</c:v>
                </c:pt>
                <c:pt idx="175">
                  <c:v>0.69123304530168006</c:v>
                </c:pt>
                <c:pt idx="176">
                  <c:v>0.69115024516408585</c:v>
                </c:pt>
                <c:pt idx="177">
                  <c:v>0.69108305500720202</c:v>
                </c:pt>
                <c:pt idx="178">
                  <c:v>0.69103124900998836</c:v>
                </c:pt>
                <c:pt idx="179">
                  <c:v>0.69099460571750293</c:v>
                </c:pt>
                <c:pt idx="180">
                  <c:v>0.69097290793517652</c:v>
                </c:pt>
                <c:pt idx="181">
                  <c:v>0.69096594262616651</c:v>
                </c:pt>
                <c:pt idx="182">
                  <c:v>0.69097350081167741</c:v>
                </c:pt>
                <c:pt idx="183">
                  <c:v>0.69099537747415896</c:v>
                </c:pt>
                <c:pt idx="184">
                  <c:v>0.69103137146327287</c:v>
                </c:pt>
                <c:pt idx="185">
                  <c:v>0.69108128540454761</c:v>
                </c:pt>
                <c:pt idx="186">
                  <c:v>0.69114492561062169</c:v>
                </c:pt>
                <c:pt idx="187">
                  <c:v>0.69122210199499534</c:v>
                </c:pt>
                <c:pt idx="188">
                  <c:v>0.69131262798820636</c:v>
                </c:pt>
                <c:pt idx="189">
                  <c:v>0.69141632045635049</c:v>
                </c:pt>
                <c:pt idx="190">
                  <c:v>0.69153299962186865</c:v>
                </c:pt>
                <c:pt idx="191">
                  <c:v>0.69166248898653071</c:v>
                </c:pt>
                <c:pt idx="192">
                  <c:v>0.69180461525654102</c:v>
                </c:pt>
                <c:pt idx="193">
                  <c:v>0.6919592082696987</c:v>
                </c:pt>
                <c:pt idx="194">
                  <c:v>0.69212610092454752</c:v>
                </c:pt>
                <c:pt idx="195">
                  <c:v>0.69230512911145348</c:v>
                </c:pt>
                <c:pt idx="196">
                  <c:v>0.69249613164554336</c:v>
                </c:pt>
                <c:pt idx="197">
                  <c:v>0.692698950201451</c:v>
                </c:pt>
                <c:pt idx="198">
                  <c:v>0.69291342924981403</c:v>
                </c:pt>
                <c:pt idx="199">
                  <c:v>0.69313941599546114</c:v>
                </c:pt>
                <c:pt idx="200">
                  <c:v>0.69337676031724482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EF-4936-9B76-59ED7816AF7E}"/>
            </c:ext>
          </c:extLst>
        </c:ser>
        <c:ser>
          <c:idx val="3"/>
          <c:order val="1"/>
          <c:tx>
            <c:v>Low-side MOSFET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Calculations'!$AI$9:$AI$209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0.16015231180163575</c:v>
                </c:pt>
                <c:pt idx="35">
                  <c:v>0.15906827744633248</c:v>
                </c:pt>
                <c:pt idx="36">
                  <c:v>0.15802770918208425</c:v>
                </c:pt>
                <c:pt idx="37">
                  <c:v>0.15702853433491942</c:v>
                </c:pt>
                <c:pt idx="38">
                  <c:v>0.15606882731310714</c:v>
                </c:pt>
                <c:pt idx="39">
                  <c:v>0.15514679864373548</c:v>
                </c:pt>
                <c:pt idx="40">
                  <c:v>0.15425016184456344</c:v>
                </c:pt>
                <c:pt idx="41">
                  <c:v>0.16519901219859337</c:v>
                </c:pt>
                <c:pt idx="42">
                  <c:v>0.17592835750654831</c:v>
                </c:pt>
                <c:pt idx="43">
                  <c:v>0.18644719426406436</c:v>
                </c:pt>
                <c:pt idx="44">
                  <c:v>0.19676343863073581</c:v>
                </c:pt>
                <c:pt idx="45">
                  <c:v>0.20688454895543104</c:v>
                </c:pt>
                <c:pt idx="46">
                  <c:v>0.21681755987121906</c:v>
                </c:pt>
                <c:pt idx="47">
                  <c:v>0.2265691134236395</c:v>
                </c:pt>
                <c:pt idx="48">
                  <c:v>0.23614548751986142</c:v>
                </c:pt>
                <c:pt idx="49">
                  <c:v>0.24555262195602839</c:v>
                </c:pt>
                <c:pt idx="50">
                  <c:v>0.25479614225322678</c:v>
                </c:pt>
                <c:pt idx="51">
                  <c:v>0.33869639136929852</c:v>
                </c:pt>
                <c:pt idx="52">
                  <c:v>0.34731578257618517</c:v>
                </c:pt>
                <c:pt idx="53">
                  <c:v>0.35578108007014181</c:v>
                </c:pt>
                <c:pt idx="54">
                  <c:v>0.3640966473794241</c:v>
                </c:pt>
                <c:pt idx="55">
                  <c:v>0.37226667395327412</c:v>
                </c:pt>
                <c:pt idx="56">
                  <c:v>0.38029518424381809</c:v>
                </c:pt>
                <c:pt idx="57">
                  <c:v>0.38818604620249042</c:v>
                </c:pt>
                <c:pt idx="58">
                  <c:v>0.39594297923560956</c:v>
                </c:pt>
                <c:pt idx="59">
                  <c:v>0.40356956165983082</c:v>
                </c:pt>
                <c:pt idx="60">
                  <c:v>0.41106923769469994</c:v>
                </c:pt>
                <c:pt idx="61">
                  <c:v>0.41844532402635831</c:v>
                </c:pt>
                <c:pt idx="62">
                  <c:v>0.42570101597357579</c:v>
                </c:pt>
                <c:pt idx="63">
                  <c:v>0.43283939328469295</c:v>
                </c:pt>
                <c:pt idx="64">
                  <c:v>0.43986342559169489</c:v>
                </c:pt>
                <c:pt idx="65">
                  <c:v>0.44677597754549769</c:v>
                </c:pt>
                <c:pt idx="66">
                  <c:v>0.45357981365458883</c:v>
                </c:pt>
                <c:pt idx="67">
                  <c:v>0.46027760284739055</c:v>
                </c:pt>
                <c:pt idx="68">
                  <c:v>0.46687192277710687</c:v>
                </c:pt>
                <c:pt idx="69">
                  <c:v>0.4733652638863482</c:v>
                </c:pt>
                <c:pt idx="70">
                  <c:v>0.47976003324749228</c:v>
                </c:pt>
                <c:pt idx="71">
                  <c:v>0.48605855819351018</c:v>
                </c:pt>
                <c:pt idx="72">
                  <c:v>0.49226308975287858</c:v>
                </c:pt>
                <c:pt idx="73">
                  <c:v>0.49837580590117542</c:v>
                </c:pt>
                <c:pt idx="74">
                  <c:v>0.50439881464101533</c:v>
                </c:pt>
                <c:pt idx="75">
                  <c:v>0.51033415692113304</c:v>
                </c:pt>
                <c:pt idx="76">
                  <c:v>0.51618380940463215</c:v>
                </c:pt>
                <c:pt idx="77">
                  <c:v>0.52194968709569478</c:v>
                </c:pt>
                <c:pt idx="78">
                  <c:v>0.52763364583338568</c:v>
                </c:pt>
                <c:pt idx="79">
                  <c:v>0.53323748466057752</c:v>
                </c:pt>
                <c:pt idx="80">
                  <c:v>0.53876294807545899</c:v>
                </c:pt>
                <c:pt idx="81">
                  <c:v>0.54421172817257157</c:v>
                </c:pt>
                <c:pt idx="82">
                  <c:v>0.54958546667984842</c:v>
                </c:pt>
                <c:pt idx="83">
                  <c:v>0.55488575689768549</c:v>
                </c:pt>
                <c:pt idx="84">
                  <c:v>0.56011414554566774</c:v>
                </c:pt>
                <c:pt idx="85">
                  <c:v>0.56527213452220759</c:v>
                </c:pt>
                <c:pt idx="86">
                  <c:v>0.57036118258199775</c:v>
                </c:pt>
                <c:pt idx="87">
                  <c:v>0.57538270693585802</c:v>
                </c:pt>
                <c:pt idx="88">
                  <c:v>0.58033808477727189</c:v>
                </c:pt>
                <c:pt idx="89">
                  <c:v>0.58522865473961938</c:v>
                </c:pt>
                <c:pt idx="90">
                  <c:v>0.59005571828786763</c:v>
                </c:pt>
                <c:pt idx="91">
                  <c:v>0.5948205410482339</c:v>
                </c:pt>
                <c:pt idx="92">
                  <c:v>0.59952435407913252</c:v>
                </c:pt>
                <c:pt idx="93">
                  <c:v>0.60416835508649036</c:v>
                </c:pt>
                <c:pt idx="94">
                  <c:v>0.60875370958634867</c:v>
                </c:pt>
                <c:pt idx="95">
                  <c:v>0.61328155201747747</c:v>
                </c:pt>
                <c:pt idx="96">
                  <c:v>0.6177529868065661</c:v>
                </c:pt>
                <c:pt idx="97">
                  <c:v>0.62216908938840854</c:v>
                </c:pt>
                <c:pt idx="98">
                  <c:v>0.62653090718335114</c:v>
                </c:pt>
                <c:pt idx="99">
                  <c:v>0.63083946053413809</c:v>
                </c:pt>
                <c:pt idx="100">
                  <c:v>0.63509574360417098</c:v>
                </c:pt>
                <c:pt idx="101">
                  <c:v>0.63930072523907744</c:v>
                </c:pt>
                <c:pt idx="102">
                  <c:v>0.64345534979337793</c:v>
                </c:pt>
                <c:pt idx="103">
                  <c:v>0.64756053792393553</c:v>
                </c:pt>
                <c:pt idx="104">
                  <c:v>0.65161718735178498</c:v>
                </c:pt>
                <c:pt idx="105">
                  <c:v>0.6556261735938409</c:v>
                </c:pt>
                <c:pt idx="106">
                  <c:v>0.65958835066590693</c:v>
                </c:pt>
                <c:pt idx="107">
                  <c:v>0.66350455175832601</c:v>
                </c:pt>
                <c:pt idx="108">
                  <c:v>0.66737558988554679</c:v>
                </c:pt>
                <c:pt idx="109">
                  <c:v>0.67120225851079884</c:v>
                </c:pt>
                <c:pt idx="110">
                  <c:v>0.67498533214702017</c:v>
                </c:pt>
                <c:pt idx="111">
                  <c:v>0.67872556693510999</c:v>
                </c:pt>
                <c:pt idx="112">
                  <c:v>0.6824237012005252</c:v>
                </c:pt>
                <c:pt idx="113">
                  <c:v>0.68608045598918976</c:v>
                </c:pt>
                <c:pt idx="114">
                  <c:v>0.68969653558363131</c:v>
                </c:pt>
                <c:pt idx="115">
                  <c:v>0.69327262800021072</c:v>
                </c:pt>
                <c:pt idx="116">
                  <c:v>0.69680940546827697</c:v>
                </c:pt>
                <c:pt idx="117">
                  <c:v>0.70030752489202219</c:v>
                </c:pt>
                <c:pt idx="118">
                  <c:v>0.70376762829578154</c:v>
                </c:pt>
                <c:pt idx="119">
                  <c:v>0.7071903432534884</c:v>
                </c:pt>
                <c:pt idx="120">
                  <c:v>0.71057628330295197</c:v>
                </c:pt>
                <c:pt idx="121">
                  <c:v>0.71392604834559448</c:v>
                </c:pt>
                <c:pt idx="122">
                  <c:v>0.71724022503225915</c:v>
                </c:pt>
                <c:pt idx="123">
                  <c:v>0.72051938713566166</c:v>
                </c:pt>
                <c:pt idx="124">
                  <c:v>0.72376409591003876</c:v>
                </c:pt>
                <c:pt idx="125">
                  <c:v>0.72697490043851265</c:v>
                </c:pt>
                <c:pt idx="126">
                  <c:v>0.73015233796867474</c:v>
                </c:pt>
                <c:pt idx="127">
                  <c:v>0.73329693423686082</c:v>
                </c:pt>
                <c:pt idx="128">
                  <c:v>0.73640920378156816</c:v>
                </c:pt>
                <c:pt idx="129">
                  <c:v>0.73948965024645275</c:v>
                </c:pt>
                <c:pt idx="130">
                  <c:v>0.74253876667331065</c:v>
                </c:pt>
                <c:pt idx="131">
                  <c:v>0.74555703578544275</c:v>
                </c:pt>
                <c:pt idx="132">
                  <c:v>0.74854493026177338</c:v>
                </c:pt>
                <c:pt idx="133">
                  <c:v>0.75150291300208305</c:v>
                </c:pt>
                <c:pt idx="134">
                  <c:v>0.75443143738369489</c:v>
                </c:pt>
                <c:pt idx="135">
                  <c:v>0.75733094750994767</c:v>
                </c:pt>
                <c:pt idx="136">
                  <c:v>0.76020187845075582</c:v>
                </c:pt>
                <c:pt idx="137">
                  <c:v>0.76304465647556741</c:v>
                </c:pt>
                <c:pt idx="138">
                  <c:v>0.76585969927899755</c:v>
                </c:pt>
                <c:pt idx="139">
                  <c:v>0.76864741619941246</c:v>
                </c:pt>
                <c:pt idx="140">
                  <c:v>0.77140820843072322</c:v>
                </c:pt>
                <c:pt idx="141">
                  <c:v>0.77414246922764551</c:v>
                </c:pt>
                <c:pt idx="142">
                  <c:v>0.77685058410465402</c:v>
                </c:pt>
                <c:pt idx="143">
                  <c:v>0.77953293102887011</c:v>
                </c:pt>
                <c:pt idx="144">
                  <c:v>0.78218988060709893</c:v>
                </c:pt>
                <c:pt idx="145">
                  <c:v>0.78482179626722126</c:v>
                </c:pt>
                <c:pt idx="146">
                  <c:v>0.78742903443415102</c:v>
                </c:pt>
                <c:pt idx="147">
                  <c:v>0.79001194470054192</c:v>
                </c:pt>
                <c:pt idx="148">
                  <c:v>0.79257086999243631</c:v>
                </c:pt>
                <c:pt idx="149">
                  <c:v>0.79510614673002844</c:v>
                </c:pt>
                <c:pt idx="150">
                  <c:v>0.79761810498371466</c:v>
                </c:pt>
                <c:pt idx="151">
                  <c:v>0.80010706862559255</c:v>
                </c:pt>
                <c:pt idx="152">
                  <c:v>0.8025733554765706</c:v>
                </c:pt>
                <c:pt idx="153">
                  <c:v>0.80501727744923024</c:v>
                </c:pt>
                <c:pt idx="154">
                  <c:v>0.80743914068659561</c:v>
                </c:pt>
                <c:pt idx="155">
                  <c:v>0.80983924569693866</c:v>
                </c:pt>
                <c:pt idx="156">
                  <c:v>0.8122178874847662</c:v>
                </c:pt>
                <c:pt idx="157">
                  <c:v>0.81457535567810258</c:v>
                </c:pt>
                <c:pt idx="158">
                  <c:v>0.81691193465220235</c:v>
                </c:pt>
                <c:pt idx="159">
                  <c:v>0.81922790364980813</c:v>
                </c:pt>
                <c:pt idx="160">
                  <c:v>0.82152353689806523</c:v>
                </c:pt>
                <c:pt idx="161">
                  <c:v>0.82379910372220666</c:v>
                </c:pt>
                <c:pt idx="162">
                  <c:v>0.82605486865610966</c:v>
                </c:pt>
                <c:pt idx="163">
                  <c:v>0.82829109154982972</c:v>
                </c:pt>
                <c:pt idx="164">
                  <c:v>0.83050802767420628</c:v>
                </c:pt>
                <c:pt idx="165">
                  <c:v>0.83270592782263675</c:v>
                </c:pt>
                <c:pt idx="166">
                  <c:v>0.83488503841010497</c:v>
                </c:pt>
                <c:pt idx="167">
                  <c:v>0.83704560156956009</c:v>
                </c:pt>
                <c:pt idx="168">
                  <c:v>0.83918785524571882</c:v>
                </c:pt>
                <c:pt idx="169">
                  <c:v>0.84131203328637838</c:v>
                </c:pt>
                <c:pt idx="170">
                  <c:v>0.84341836553131999</c:v>
                </c:pt>
                <c:pt idx="171">
                  <c:v>0.84550707789887292</c:v>
                </c:pt>
                <c:pt idx="172">
                  <c:v>0.84757839247021249</c:v>
                </c:pt>
                <c:pt idx="173">
                  <c:v>0.84963252757146601</c:v>
                </c:pt>
                <c:pt idx="174">
                  <c:v>0.85166969785369029</c:v>
                </c:pt>
                <c:pt idx="175">
                  <c:v>0.85369011437078401</c:v>
                </c:pt>
                <c:pt idx="176">
                  <c:v>0.85569398465540414</c:v>
                </c:pt>
                <c:pt idx="177">
                  <c:v>0.85768151279294047</c:v>
                </c:pt>
                <c:pt idx="178">
                  <c:v>0.8596528994936099</c:v>
                </c:pt>
                <c:pt idx="179">
                  <c:v>0.86160834216272542</c:v>
                </c:pt>
                <c:pt idx="180">
                  <c:v>0.86354803496919441</c:v>
                </c:pt>
                <c:pt idx="181">
                  <c:v>0.86547216891230194</c:v>
                </c:pt>
                <c:pt idx="182">
                  <c:v>0.86738093188682153</c:v>
                </c:pt>
                <c:pt idx="183">
                  <c:v>0.86927450874651646</c:v>
                </c:pt>
                <c:pt idx="184">
                  <c:v>0.87115308136605907</c:v>
                </c:pt>
                <c:pt idx="185">
                  <c:v>0.87301682870143538</c:v>
                </c:pt>
                <c:pt idx="186">
                  <c:v>0.87486592684886222</c:v>
                </c:pt>
                <c:pt idx="187">
                  <c:v>0.87670054910226991</c:v>
                </c:pt>
                <c:pt idx="188">
                  <c:v>0.87852086600938639</c:v>
                </c:pt>
                <c:pt idx="189">
                  <c:v>0.88032704542646456</c:v>
                </c:pt>
                <c:pt idx="190">
                  <c:v>0.88211925257169299</c:v>
                </c:pt>
                <c:pt idx="191">
                  <c:v>0.88389765007732235</c:v>
                </c:pt>
                <c:pt idx="192">
                  <c:v>0.88566239804055114</c:v>
                </c:pt>
                <c:pt idx="193">
                  <c:v>0.88741365407319983</c:v>
                </c:pt>
                <c:pt idx="194">
                  <c:v>0.88915157335020667</c:v>
                </c:pt>
                <c:pt idx="195">
                  <c:v>0.89087630865698475</c:v>
                </c:pt>
                <c:pt idx="196">
                  <c:v>0.89258801043566471</c:v>
                </c:pt>
                <c:pt idx="197">
                  <c:v>0.89428682683025562</c:v>
                </c:pt>
                <c:pt idx="198">
                  <c:v>0.89597290373075755</c:v>
                </c:pt>
                <c:pt idx="199">
                  <c:v>0.89764638481624914</c:v>
                </c:pt>
                <c:pt idx="200">
                  <c:v>0.89930741159698313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EF-4936-9B76-59ED7816AF7E}"/>
            </c:ext>
          </c:extLst>
        </c:ser>
        <c:ser>
          <c:idx val="0"/>
          <c:order val="2"/>
          <c:tx>
            <c:v>Inductor Loss</c:v>
          </c:tx>
          <c:spPr>
            <a:ln w="3175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Calculations'!$T$9:$T$209</c:f>
              <c:numCache>
                <c:formatCode>0.000</c:formatCode>
                <c:ptCount val="201"/>
                <c:pt idx="0">
                  <c:v>3.0648058849506987</c:v>
                </c:pt>
                <c:pt idx="1">
                  <c:v>2.8918497754071368</c:v>
                </c:pt>
                <c:pt idx="2">
                  <c:v>2.7341936482534623</c:v>
                </c:pt>
                <c:pt idx="3">
                  <c:v>2.5899237440072804</c:v>
                </c:pt>
                <c:pt idx="4">
                  <c:v>2.4574215398868562</c:v>
                </c:pt>
                <c:pt idx="5">
                  <c:v>2.3353100982119734</c:v>
                </c:pt>
                <c:pt idx="6">
                  <c:v>2.2224117222561799</c:v>
                </c:pt>
                <c:pt idx="7">
                  <c:v>2.1177142356148293</c:v>
                </c:pt>
                <c:pt idx="8">
                  <c:v>2.0203439046272269</c:v>
                </c:pt>
                <c:pt idx="9">
                  <c:v>1.929543526052018</c:v>
                </c:pt>
                <c:pt idx="10">
                  <c:v>1.8446545657663853</c:v>
                </c:pt>
                <c:pt idx="11">
                  <c:v>1.7651025002190559</c:v>
                </c:pt>
                <c:pt idx="12">
                  <c:v>1.6903847089803183</c:v>
                </c:pt>
                <c:pt idx="13">
                  <c:v>1.6200604135147934</c:v>
                </c:pt>
                <c:pt idx="14">
                  <c:v>1.5537422678937312</c:v>
                </c:pt>
                <c:pt idx="15">
                  <c:v>1.4910892912040992</c:v>
                </c:pt>
                <c:pt idx="16">
                  <c:v>1.431800895789958</c:v>
                </c:pt>
                <c:pt idx="17">
                  <c:v>1.3756118151476644</c:v>
                </c:pt>
                <c:pt idx="18">
                  <c:v>1.3222877739104029</c:v>
                </c:pt>
                <c:pt idx="19">
                  <c:v>1.2716217725587304</c:v>
                </c:pt>
                <c:pt idx="20">
                  <c:v>1.2234308832513225</c:v>
                </c:pt>
                <c:pt idx="21">
                  <c:v>1.1775534719520857</c:v>
                </c:pt>
                <c:pt idx="22">
                  <c:v>1.1338467769374547</c:v>
                </c:pt>
                <c:pt idx="23">
                  <c:v>1.0921847856296463</c:v>
                </c:pt>
                <c:pt idx="24">
                  <c:v>1.0524563611420599</c:v>
                </c:pt>
                <c:pt idx="25">
                  <c:v>1.0145635774086017</c:v>
                </c:pt>
                <c:pt idx="26">
                  <c:v>0.97842022764149428</c:v>
                </c:pt>
                <c:pt idx="27">
                  <c:v>0.94395047535944254</c:v>
                </c:pt>
                <c:pt idx="28">
                  <c:v>0.91108762049055581</c:v>
                </c:pt>
                <c:pt idx="29">
                  <c:v>0.87977295512086218</c:v>
                </c:pt>
                <c:pt idx="30">
                  <c:v>0.8499546842405945</c:v>
                </c:pt>
                <c:pt idx="31">
                  <c:v>0.82158688605904984</c:v>
                </c:pt>
                <c:pt idx="32">
                  <c:v>0.79462848352041149</c:v>
                </c:pt>
                <c:pt idx="33">
                  <c:v>0.7690421923711559</c:v>
                </c:pt>
                <c:pt idx="34">
                  <c:v>0.71423529181416967</c:v>
                </c:pt>
                <c:pt idx="35">
                  <c:v>0.68081314318913111</c:v>
                </c:pt>
                <c:pt idx="36">
                  <c:v>0.64978854844013045</c:v>
                </c:pt>
                <c:pt idx="37">
                  <c:v>0.62123814694075019</c:v>
                </c:pt>
                <c:pt idx="38">
                  <c:v>0.59522475618033521</c:v>
                </c:pt>
                <c:pt idx="39">
                  <c:v>0.57179117719495431</c:v>
                </c:pt>
                <c:pt idx="40">
                  <c:v>0.54335690151402738</c:v>
                </c:pt>
                <c:pt idx="41">
                  <c:v>0.54338597338819228</c:v>
                </c:pt>
                <c:pt idx="42">
                  <c:v>0.54430230992257644</c:v>
                </c:pt>
                <c:pt idx="43">
                  <c:v>0.54682796909280851</c:v>
                </c:pt>
                <c:pt idx="44">
                  <c:v>0.55115131091971614</c:v>
                </c:pt>
                <c:pt idx="45">
                  <c:v>0.55734497865151844</c:v>
                </c:pt>
                <c:pt idx="46">
                  <c:v>0.56542645227699395</c:v>
                </c:pt>
                <c:pt idx="47">
                  <c:v>0.57538112228357008</c:v>
                </c:pt>
                <c:pt idx="48">
                  <c:v>0.5871741692713256</c:v>
                </c:pt>
                <c:pt idx="49">
                  <c:v>0.60075759912246773</c:v>
                </c:pt>
                <c:pt idx="50">
                  <c:v>0.61607476431329311</c:v>
                </c:pt>
                <c:pt idx="51">
                  <c:v>0.52210964037735674</c:v>
                </c:pt>
                <c:pt idx="52">
                  <c:v>0.52632696988817029</c:v>
                </c:pt>
                <c:pt idx="53">
                  <c:v>0.53089342952094543</c:v>
                </c:pt>
                <c:pt idx="54">
                  <c:v>0.53579357675840944</c:v>
                </c:pt>
                <c:pt idx="55">
                  <c:v>0.54101197733159678</c:v>
                </c:pt>
                <c:pt idx="56">
                  <c:v>0.54653334409021992</c:v>
                </c:pt>
                <c:pt idx="57">
                  <c:v>0.55234263967552233</c:v>
                </c:pt>
                <c:pt idx="58">
                  <c:v>0.55842515191612097</c:v>
                </c:pt>
                <c:pt idx="59">
                  <c:v>0.56476654843119067</c:v>
                </c:pt>
                <c:pt idx="60">
                  <c:v>0.57135291524418375</c:v>
                </c:pt>
                <c:pt idx="61">
                  <c:v>0.57817078302151348</c:v>
                </c:pt>
                <c:pt idx="62">
                  <c:v>0.58520714369228533</c:v>
                </c:pt>
                <c:pt idx="63">
                  <c:v>0.59244945957414918</c:v>
                </c:pt>
                <c:pt idx="64">
                  <c:v>0.59988566665914878</c:v>
                </c:pt>
                <c:pt idx="65">
                  <c:v>0.60750417335679496</c:v>
                </c:pt>
                <c:pt idx="66">
                  <c:v>0.61529385571842266</c:v>
                </c:pt>
                <c:pt idx="67">
                  <c:v>0.62324404995549387</c:v>
                </c:pt>
                <c:pt idx="68">
                  <c:v>0.631344542899414</c:v>
                </c:pt>
                <c:pt idx="69">
                  <c:v>0.63958556092049401</c:v>
                </c:pt>
                <c:pt idx="70">
                  <c:v>0.64795775772068465</c:v>
                </c:pt>
                <c:pt idx="71">
                  <c:v>0.65645220133258908</c:v>
                </c:pt>
                <c:pt idx="72">
                  <c:v>0.66506036059141649</c:v>
                </c:pt>
                <c:pt idx="73">
                  <c:v>0.67377409129353905</c:v>
                </c:pt>
                <c:pt idx="74">
                  <c:v>0.68258562221245356</c:v>
                </c:pt>
                <c:pt idx="75">
                  <c:v>0.69148754110820598</c:v>
                </c:pt>
                <c:pt idx="76">
                  <c:v>0.70047278083808595</c:v>
                </c:pt>
                <c:pt idx="77">
                  <c:v>0.70953460565337167</c:v>
                </c:pt>
                <c:pt idx="78">
                  <c:v>0.71866659774813835</c:v>
                </c:pt>
                <c:pt idx="79">
                  <c:v>0.72786264411079171</c:v>
                </c:pt>
                <c:pt idx="80">
                  <c:v>0.73711692371647097</c:v>
                </c:pt>
                <c:pt idx="81">
                  <c:v>0.74642389508822737</c:v>
                </c:pt>
                <c:pt idx="82">
                  <c:v>0.75577828424653259</c:v>
                </c:pt>
                <c:pt idx="83">
                  <c:v>0.76517507305989452</c:v>
                </c:pt>
                <c:pt idx="84">
                  <c:v>0.77460948800380658</c:v>
                </c:pt>
                <c:pt idx="85">
                  <c:v>0.78407698933082226</c:v>
                </c:pt>
                <c:pt idx="86">
                  <c:v>0.7935732606509267</c:v>
                </c:pt>
                <c:pt idx="87">
                  <c:v>0.80309419891850964</c:v>
                </c:pt>
                <c:pt idx="88">
                  <c:v>0.8126359048199624</c:v>
                </c:pt>
                <c:pt idx="89">
                  <c:v>0.82219467355413556</c:v>
                </c:pt>
                <c:pt idx="90">
                  <c:v>0.83176698599650778</c:v>
                </c:pt>
                <c:pt idx="91">
                  <c:v>0.84134950023687494</c:v>
                </c:pt>
                <c:pt idx="92">
                  <c:v>0.85093904347960114</c:v>
                </c:pt>
                <c:pt idx="93">
                  <c:v>0.86053260429494016</c:v>
                </c:pt>
                <c:pt idx="94">
                  <c:v>0.87012732520957947</c:v>
                </c:pt>
                <c:pt idx="95">
                  <c:v>0.87972049562437471</c:v>
                </c:pt>
                <c:pt idx="96">
                  <c:v>0.88930954504715021</c:v>
                </c:pt>
                <c:pt idx="97">
                  <c:v>0.89889203662851647</c:v>
                </c:pt>
                <c:pt idx="98">
                  <c:v>0.90846566098870762</c:v>
                </c:pt>
                <c:pt idx="99">
                  <c:v>0.91802823032369296</c:v>
                </c:pt>
                <c:pt idx="100">
                  <c:v>0.92757767277898195</c:v>
                </c:pt>
                <c:pt idx="101">
                  <c:v>0.93711202707986041</c:v>
                </c:pt>
                <c:pt idx="102">
                  <c:v>0.94662943740707184</c:v>
                </c:pt>
                <c:pt idx="103">
                  <c:v>0.95612814850729766</c:v>
                </c:pt>
                <c:pt idx="104">
                  <c:v>0.96560650102811141</c:v>
                </c:pt>
                <c:pt idx="105">
                  <c:v>0.9750629270674569</c:v>
                </c:pt>
                <c:pt idx="106">
                  <c:v>0.98449594592803724</c:v>
                </c:pt>
                <c:pt idx="107">
                  <c:v>0.99390416006736071</c:v>
                </c:pt>
                <c:pt idx="108">
                  <c:v>1.0032862512345715</c:v>
                </c:pt>
                <c:pt idx="109">
                  <c:v>1.0126409767855042</c:v>
                </c:pt>
                <c:pt idx="110">
                  <c:v>1.0219671661678058</c:v>
                </c:pt>
                <c:pt idx="111">
                  <c:v>1.0312637175682482</c:v>
                </c:pt>
                <c:pt idx="112">
                  <c:v>1.040529594714751</c:v>
                </c:pt>
                <c:pt idx="113">
                  <c:v>1.0497638238259173</c:v>
                </c:pt>
                <c:pt idx="114">
                  <c:v>1.0589654907012087</c:v>
                </c:pt>
                <c:pt idx="115">
                  <c:v>1.0681337379452154</c:v>
                </c:pt>
                <c:pt idx="116">
                  <c:v>1.0772677623197391</c:v>
                </c:pt>
                <c:pt idx="117">
                  <c:v>1.0863668122177161</c:v>
                </c:pt>
                <c:pt idx="118">
                  <c:v>1.0954301852532744</c:v>
                </c:pt>
                <c:pt idx="119">
                  <c:v>1.1044572259624688</c:v>
                </c:pt>
                <c:pt idx="120">
                  <c:v>1.1134473236095257</c:v>
                </c:pt>
                <c:pt idx="121">
                  <c:v>1.1223999100936317</c:v>
                </c:pt>
                <c:pt idx="122">
                  <c:v>1.1313144579515479</c:v>
                </c:pt>
                <c:pt idx="123">
                  <c:v>1.1401904784515824</c:v>
                </c:pt>
                <c:pt idx="124">
                  <c:v>1.1490275197746067</c:v>
                </c:pt>
                <c:pt idx="125">
                  <c:v>1.1578251652780591</c:v>
                </c:pt>
                <c:pt idx="126">
                  <c:v>1.1665830318390533</c:v>
                </c:pt>
                <c:pt idx="127">
                  <c:v>1.175300768272876</c:v>
                </c:pt>
                <c:pt idx="128">
                  <c:v>1.1839780538233671</c:v>
                </c:pt>
                <c:pt idx="129">
                  <c:v>1.1926145967218291</c:v>
                </c:pt>
                <c:pt idx="130">
                  <c:v>1.2012101328112528</c:v>
                </c:pt>
                <c:pt idx="131">
                  <c:v>1.2097644242328491</c:v>
                </c:pt>
                <c:pt idx="132">
                  <c:v>1.2182772581719621</c:v>
                </c:pt>
                <c:pt idx="133">
                  <c:v>1.2267484456606299</c:v>
                </c:pt>
                <c:pt idx="134">
                  <c:v>1.235177820434155</c:v>
                </c:pt>
                <c:pt idx="135">
                  <c:v>1.2435652378391893</c:v>
                </c:pt>
                <c:pt idx="136">
                  <c:v>1.2519105737909624</c:v>
                </c:pt>
                <c:pt idx="137">
                  <c:v>1.260213723777369</c:v>
                </c:pt>
                <c:pt idx="138">
                  <c:v>1.2684746019077802</c:v>
                </c:pt>
                <c:pt idx="139">
                  <c:v>1.2766931400045147</c:v>
                </c:pt>
                <c:pt idx="140">
                  <c:v>1.2848692867350002</c:v>
                </c:pt>
                <c:pt idx="141">
                  <c:v>1.2930030067827945</c:v>
                </c:pt>
                <c:pt idx="142">
                  <c:v>1.3010942800556564</c:v>
                </c:pt>
                <c:pt idx="143">
                  <c:v>1.3091431009290013</c:v>
                </c:pt>
                <c:pt idx="144">
                  <c:v>1.3171494775231203</c:v>
                </c:pt>
                <c:pt idx="145">
                  <c:v>1.3251134310126287</c:v>
                </c:pt>
                <c:pt idx="146">
                  <c:v>1.3330349949666895</c:v>
                </c:pt>
                <c:pt idx="147">
                  <c:v>1.3409142147186168</c:v>
                </c:pt>
                <c:pt idx="148">
                  <c:v>1.3487511467635214</c:v>
                </c:pt>
                <c:pt idx="149">
                  <c:v>1.3565458581827587</c:v>
                </c:pt>
                <c:pt idx="150">
                  <c:v>1.3642984260939466</c:v>
                </c:pt>
                <c:pt idx="151">
                  <c:v>1.3720089371254276</c:v>
                </c:pt>
                <c:pt idx="152">
                  <c:v>1.3796774869140611</c:v>
                </c:pt>
                <c:pt idx="153">
                  <c:v>1.387304179625322</c:v>
                </c:pt>
                <c:pt idx="154">
                  <c:v>1.39488912749469</c:v>
                </c:pt>
                <c:pt idx="155">
                  <c:v>1.4024324503894006</c:v>
                </c:pt>
                <c:pt idx="156">
                  <c:v>1.409934275389634</c:v>
                </c:pt>
                <c:pt idx="157">
                  <c:v>1.4173947363882959</c:v>
                </c:pt>
                <c:pt idx="158">
                  <c:v>1.4248139737085554</c:v>
                </c:pt>
                <c:pt idx="159">
                  <c:v>1.4321921337383601</c:v>
                </c:pt>
                <c:pt idx="160">
                  <c:v>1.4395293685811761</c:v>
                </c:pt>
                <c:pt idx="161">
                  <c:v>1.4468258357222425</c:v>
                </c:pt>
                <c:pt idx="162">
                  <c:v>1.4540816977096565</c:v>
                </c:pt>
                <c:pt idx="163">
                  <c:v>1.4612971218496318</c:v>
                </c:pt>
                <c:pt idx="164">
                  <c:v>1.4684722799153227</c:v>
                </c:pt>
                <c:pt idx="165">
                  <c:v>1.4756073478686098</c:v>
                </c:pt>
                <c:pt idx="166">
                  <c:v>1.4827025055942769</c:v>
                </c:pt>
                <c:pt idx="167">
                  <c:v>1.4897579366460643</c:v>
                </c:pt>
                <c:pt idx="168">
                  <c:v>1.4967738280040446</c:v>
                </c:pt>
                <c:pt idx="169">
                  <c:v>1.5037503698428552</c:v>
                </c:pt>
                <c:pt idx="170">
                  <c:v>1.5106877553103173</c:v>
                </c:pt>
                <c:pt idx="171">
                  <c:v>1.5175861803159749</c:v>
                </c:pt>
                <c:pt idx="172">
                  <c:v>1.5244458433291257</c:v>
                </c:pt>
                <c:pt idx="173">
                  <c:v>1.5312669451859655</c:v>
                </c:pt>
                <c:pt idx="174">
                  <c:v>1.5380496889054056</c:v>
                </c:pt>
                <c:pt idx="175">
                  <c:v>1.5447942795132246</c:v>
                </c:pt>
                <c:pt idx="176">
                  <c:v>1.5515009238741799</c:v>
                </c:pt>
                <c:pt idx="177">
                  <c:v>1.5581698305317486</c:v>
                </c:pt>
                <c:pt idx="178">
                  <c:v>1.5648012095551567</c:v>
                </c:pt>
                <c:pt idx="179">
                  <c:v>1.5713952723933913</c:v>
                </c:pt>
                <c:pt idx="180">
                  <c:v>1.5779522317358989</c:v>
                </c:pt>
                <c:pt idx="181">
                  <c:v>1.5844723013796882</c:v>
                </c:pt>
                <c:pt idx="182">
                  <c:v>1.5909556961025393</c:v>
                </c:pt>
                <c:pt idx="183">
                  <c:v>1.5974026315420993</c:v>
                </c:pt>
                <c:pt idx="184">
                  <c:v>1.6038133240805685</c:v>
                </c:pt>
                <c:pt idx="185">
                  <c:v>1.6101879907347825</c:v>
                </c:pt>
                <c:pt idx="186">
                  <c:v>1.6165268490514206</c:v>
                </c:pt>
                <c:pt idx="187">
                  <c:v>1.6228301170071542</c:v>
                </c:pt>
                <c:pt idx="188">
                  <c:v>1.6290980129135106</c:v>
                </c:pt>
                <c:pt idx="189">
                  <c:v>1.6353307553262426</c:v>
                </c:pt>
                <c:pt idx="190">
                  <c:v>1.6415285629590384</c:v>
                </c:pt>
                <c:pt idx="191">
                  <c:v>1.6476916546013691</c:v>
                </c:pt>
                <c:pt idx="192">
                  <c:v>1.6538202490402902</c:v>
                </c:pt>
                <c:pt idx="193">
                  <c:v>1.6599145649860654</c:v>
                </c:pt>
                <c:pt idx="194">
                  <c:v>1.6659748210013976</c:v>
                </c:pt>
                <c:pt idx="195">
                  <c:v>1.6720012354341764</c:v>
                </c:pt>
                <c:pt idx="196">
                  <c:v>1.6779940263535251</c:v>
                </c:pt>
                <c:pt idx="197">
                  <c:v>1.6839534114890782</c:v>
                </c:pt>
                <c:pt idx="198">
                  <c:v>1.6898796081732881</c:v>
                </c:pt>
                <c:pt idx="199">
                  <c:v>1.6957728332866813</c:v>
                </c:pt>
                <c:pt idx="200">
                  <c:v>1.7016333032059072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EF-4936-9B76-59ED7816A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47136"/>
        <c:axId val="159149056"/>
      </c:scatterChart>
      <c:valAx>
        <c:axId val="15914713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898089171975511"/>
              <c:y val="0.92540407247481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149056"/>
        <c:crosses val="autoZero"/>
        <c:crossBetween val="midCat"/>
      </c:valAx>
      <c:valAx>
        <c:axId val="159149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Power Disipation (W)</a:t>
                </a:r>
              </a:p>
            </c:rich>
          </c:tx>
          <c:layout>
            <c:manualLayout>
              <c:xMode val="edge"/>
              <c:yMode val="edge"/>
              <c:x val="1.9108297737292643E-2"/>
              <c:y val="0.346102573871814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147136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115673503774995"/>
          <c:y val="1.0080645161290322E-2"/>
          <c:w val="0.20336554227017919"/>
          <c:h val="0.12903246973160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/>
              <a:t> Overall Efficiency</a:t>
            </a:r>
          </a:p>
        </c:rich>
      </c:tx>
      <c:layout>
        <c:manualLayout>
          <c:xMode val="edge"/>
          <c:yMode val="edge"/>
          <c:x val="0.41192468827576156"/>
          <c:y val="3.02419354838718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4102129638858"/>
          <c:y val="0.15927435034411094"/>
          <c:w val="0.85384629851107507"/>
          <c:h val="0.72983942815910108"/>
        </c:manualLayout>
      </c:layout>
      <c:scatterChart>
        <c:scatterStyle val="lineMarker"/>
        <c:varyColors val="0"/>
        <c:ser>
          <c:idx val="0"/>
          <c:order val="0"/>
          <c:tx>
            <c:v>Efficiency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Calculations'!$BD$9:$BD$209</c:f>
              <c:numCache>
                <c:formatCode>0.0%</c:formatCode>
                <c:ptCount val="201"/>
                <c:pt idx="0">
                  <c:v>0.82914924636671794</c:v>
                </c:pt>
                <c:pt idx="1">
                  <c:v>0.85348494276162712</c:v>
                </c:pt>
                <c:pt idx="2">
                  <c:v>0.87099906522293213</c:v>
                </c:pt>
                <c:pt idx="3">
                  <c:v>0.88433687053356314</c:v>
                </c:pt>
                <c:pt idx="4">
                  <c:v>0.89491545407499229</c:v>
                </c:pt>
                <c:pt idx="5">
                  <c:v>0.90356481479330819</c:v>
                </c:pt>
                <c:pt idx="6">
                  <c:v>0.9108049508124153</c:v>
                </c:pt>
                <c:pt idx="7">
                  <c:v>0.91697929996317351</c:v>
                </c:pt>
                <c:pt idx="8">
                  <c:v>0.92232454651848184</c:v>
                </c:pt>
                <c:pt idx="9">
                  <c:v>0.92700961909763979</c:v>
                </c:pt>
                <c:pt idx="10">
                  <c:v>0.93115867585927736</c:v>
                </c:pt>
                <c:pt idx="11">
                  <c:v>0.93486526975601691</c:v>
                </c:pt>
                <c:pt idx="12">
                  <c:v>0.93820141431409332</c:v>
                </c:pt>
                <c:pt idx="13">
                  <c:v>0.94122357707356752</c:v>
                </c:pt>
                <c:pt idx="14">
                  <c:v>0.94397675520411595</c:v>
                </c:pt>
                <c:pt idx="15">
                  <c:v>0.94649731643686796</c:v>
                </c:pt>
                <c:pt idx="16">
                  <c:v>0.94881502323872657</c:v>
                </c:pt>
                <c:pt idx="17">
                  <c:v>0.95095450352637223</c:v>
                </c:pt>
                <c:pt idx="18">
                  <c:v>0.95293633818500023</c:v>
                </c:pt>
                <c:pt idx="19">
                  <c:v>0.95477787809781633</c:v>
                </c:pt>
                <c:pt idx="20">
                  <c:v>0.95649386687754567</c:v>
                </c:pt>
                <c:pt idx="21">
                  <c:v>0.95809692179789674</c:v>
                </c:pt>
                <c:pt idx="22">
                  <c:v>0.95959790973137693</c:v>
                </c:pt>
                <c:pt idx="23">
                  <c:v>0.96100624431239412</c:v>
                </c:pt>
                <c:pt idx="24">
                  <c:v>0.96233012327842815</c:v>
                </c:pt>
                <c:pt idx="25">
                  <c:v>0.96357671987706772</c:v>
                </c:pt>
                <c:pt idx="26">
                  <c:v>0.96475233864543242</c:v>
                </c:pt>
                <c:pt idx="27">
                  <c:v>0.96586254330330612</c:v>
                </c:pt>
                <c:pt idx="28">
                  <c:v>0.96691226264250874</c:v>
                </c:pt>
                <c:pt idx="29">
                  <c:v>0.96790587893477931</c:v>
                </c:pt>
                <c:pt idx="30">
                  <c:v>0.96884730237767824</c:v>
                </c:pt>
                <c:pt idx="31">
                  <c:v>0.96974003435674527</c:v>
                </c:pt>
                <c:pt idx="32">
                  <c:v>0.97058722175786938</c:v>
                </c:pt>
                <c:pt idx="33">
                  <c:v>0.9713917041759691</c:v>
                </c:pt>
                <c:pt idx="34">
                  <c:v>0.97436802113911913</c:v>
                </c:pt>
                <c:pt idx="35">
                  <c:v>0.97504998237551022</c:v>
                </c:pt>
                <c:pt idx="36">
                  <c:v>0.97569459361045696</c:v>
                </c:pt>
                <c:pt idx="37">
                  <c:v>0.97630258004290671</c:v>
                </c:pt>
                <c:pt idx="38">
                  <c:v>0.97687465265743778</c:v>
                </c:pt>
                <c:pt idx="39">
                  <c:v>0.97741156073102231</c:v>
                </c:pt>
                <c:pt idx="40">
                  <c:v>0.97796868931485625</c:v>
                </c:pt>
                <c:pt idx="41">
                  <c:v>0.97793144163716517</c:v>
                </c:pt>
                <c:pt idx="42">
                  <c:v>0.97788266219797915</c:v>
                </c:pt>
                <c:pt idx="43">
                  <c:v>0.97782287200313789</c:v>
                </c:pt>
                <c:pt idx="44">
                  <c:v>0.97775087358024781</c:v>
                </c:pt>
                <c:pt idx="45">
                  <c:v>0.97766623461485491</c:v>
                </c:pt>
                <c:pt idx="46">
                  <c:v>0.97756888608337322</c:v>
                </c:pt>
                <c:pt idx="47">
                  <c:v>0.97745896926102049</c:v>
                </c:pt>
                <c:pt idx="48">
                  <c:v>0.97733675702899736</c:v>
                </c:pt>
                <c:pt idx="49">
                  <c:v>0.97720260731913533</c:v>
                </c:pt>
                <c:pt idx="50">
                  <c:v>0.97705693322651521</c:v>
                </c:pt>
                <c:pt idx="51">
                  <c:v>0.97845324150546475</c:v>
                </c:pt>
                <c:pt idx="52">
                  <c:v>0.97836154042817647</c:v>
                </c:pt>
                <c:pt idx="53">
                  <c:v>0.97826811353659993</c:v>
                </c:pt>
                <c:pt idx="54">
                  <c:v>0.97817305312458591</c:v>
                </c:pt>
                <c:pt idx="55">
                  <c:v>0.97807645151634015</c:v>
                </c:pt>
                <c:pt idx="56">
                  <c:v>0.9779784001559515</c:v>
                </c:pt>
                <c:pt idx="57">
                  <c:v>0.97787898893580238</c:v>
                </c:pt>
                <c:pt idx="58">
                  <c:v>0.97777830570472102</c:v>
                </c:pt>
                <c:pt idx="59">
                  <c:v>0.97767643591292841</c:v>
                </c:pt>
                <c:pt idx="60">
                  <c:v>0.97757346236199982</c:v>
                </c:pt>
                <c:pt idx="61">
                  <c:v>0.97746946503595467</c:v>
                </c:pt>
                <c:pt idx="62">
                  <c:v>0.97736452099528004</c:v>
                </c:pt>
                <c:pt idx="63">
                  <c:v>0.9772587043198746</c:v>
                </c:pt>
                <c:pt idx="64">
                  <c:v>0.97715208609002613</c:v>
                </c:pt>
                <c:pt idx="65">
                  <c:v>0.97704473439688599</c:v>
                </c:pt>
                <c:pt idx="66">
                  <c:v>0.97693671437572205</c:v>
                </c:pt>
                <c:pt idx="67">
                  <c:v>0.97682808825661505</c:v>
                </c:pt>
                <c:pt idx="68">
                  <c:v>0.97671891542836498</c:v>
                </c:pt>
                <c:pt idx="69">
                  <c:v>0.97660925251221931</c:v>
                </c:pt>
                <c:pt idx="70">
                  <c:v>0.97649915344272264</c:v>
                </c:pt>
                <c:pt idx="71">
                  <c:v>0.97638866955352244</c:v>
                </c:pt>
                <c:pt idx="72">
                  <c:v>0.97627784966639586</c:v>
                </c:pt>
                <c:pt idx="73">
                  <c:v>0.97616674018212024</c:v>
                </c:pt>
                <c:pt idx="74">
                  <c:v>0.97605538517207713</c:v>
                </c:pt>
                <c:pt idx="75">
                  <c:v>0.97594382646971922</c:v>
                </c:pt>
                <c:pt idx="76">
                  <c:v>0.97583210376120733</c:v>
                </c:pt>
                <c:pt idx="77">
                  <c:v>0.97572025467467571</c:v>
                </c:pt>
                <c:pt idx="78">
                  <c:v>0.97560831486770883</c:v>
                </c:pt>
                <c:pt idx="79">
                  <c:v>0.97549631811271142</c:v>
                </c:pt>
                <c:pt idx="80">
                  <c:v>0.97538429637993018</c:v>
                </c:pt>
                <c:pt idx="81">
                  <c:v>0.97527227991796206</c:v>
                </c:pt>
                <c:pt idx="82">
                  <c:v>0.97516029733162712</c:v>
                </c:pt>
                <c:pt idx="83">
                  <c:v>0.97504837565713287</c:v>
                </c:pt>
                <c:pt idx="84">
                  <c:v>0.97493654043449607</c:v>
                </c:pt>
                <c:pt idx="85">
                  <c:v>0.97482481577720692</c:v>
                </c:pt>
                <c:pt idx="86">
                  <c:v>0.97471322443915231</c:v>
                </c:pt>
                <c:pt idx="87">
                  <c:v>0.97460178787882934</c:v>
                </c:pt>
                <c:pt idx="88">
                  <c:v>0.97449052632089461</c:v>
                </c:pt>
                <c:pt idx="89">
                  <c:v>0.97437945881510635</c:v>
                </c:pt>
                <c:pt idx="90">
                  <c:v>0.97426860329272469</c:v>
                </c:pt>
                <c:pt idx="91">
                  <c:v>0.97415797662044379</c:v>
                </c:pt>
                <c:pt idx="92">
                  <c:v>0.97404759465192958</c:v>
                </c:pt>
                <c:pt idx="93">
                  <c:v>0.97393747227704608</c:v>
                </c:pt>
                <c:pt idx="94">
                  <c:v>0.97382762346884888</c:v>
                </c:pt>
                <c:pt idx="95">
                  <c:v>0.97371806132842886</c:v>
                </c:pt>
                <c:pt idx="96">
                  <c:v>0.97360879812769252</c:v>
                </c:pt>
                <c:pt idx="97">
                  <c:v>0.97349984535015388</c:v>
                </c:pt>
                <c:pt idx="98">
                  <c:v>0.97339121372982662</c:v>
                </c:pt>
                <c:pt idx="99">
                  <c:v>0.97328291328828909</c:v>
                </c:pt>
                <c:pt idx="100">
                  <c:v>0.97317495337000748</c:v>
                </c:pt>
                <c:pt idx="101">
                  <c:v>0.97306734267598494</c:v>
                </c:pt>
                <c:pt idx="102">
                  <c:v>0.97296008929581701</c:v>
                </c:pt>
                <c:pt idx="103">
                  <c:v>0.97285320073822124</c:v>
                </c:pt>
                <c:pt idx="104">
                  <c:v>0.9727466839601111</c:v>
                </c:pt>
                <c:pt idx="105">
                  <c:v>0.9726405453942788</c:v>
                </c:pt>
                <c:pt idx="106">
                  <c:v>0.97253479097575624</c:v>
                </c:pt>
                <c:pt idx="107">
                  <c:v>0.97242942616690697</c:v>
                </c:pt>
                <c:pt idx="108">
                  <c:v>0.97232445598131823</c:v>
                </c:pt>
                <c:pt idx="109">
                  <c:v>0.97221988500654077</c:v>
                </c:pt>
                <c:pt idx="110">
                  <c:v>0.97211571742573755</c:v>
                </c:pt>
                <c:pt idx="111">
                  <c:v>0.97201195703828802</c:v>
                </c:pt>
                <c:pt idx="112">
                  <c:v>0.9719086072794012</c:v>
                </c:pt>
                <c:pt idx="113">
                  <c:v>0.9718056712387837</c:v>
                </c:pt>
                <c:pt idx="114">
                  <c:v>0.97170315167840693</c:v>
                </c:pt>
                <c:pt idx="115">
                  <c:v>0.9716010510494183</c:v>
                </c:pt>
                <c:pt idx="116">
                  <c:v>0.97149937150823718</c:v>
                </c:pt>
                <c:pt idx="117">
                  <c:v>0.97139811493187422</c:v>
                </c:pt>
                <c:pt idx="118">
                  <c:v>0.97129728293251161</c:v>
                </c:pt>
                <c:pt idx="119">
                  <c:v>0.97119687687138112</c:v>
                </c:pt>
                <c:pt idx="120">
                  <c:v>0.9710968978719724</c:v>
                </c:pt>
                <c:pt idx="121">
                  <c:v>0.97099734683260397</c:v>
                </c:pt>
                <c:pt idx="122">
                  <c:v>0.97089822443839024</c:v>
                </c:pt>
                <c:pt idx="123">
                  <c:v>0.97079953117262885</c:v>
                </c:pt>
                <c:pt idx="124">
                  <c:v>0.97070126732764128</c:v>
                </c:pt>
                <c:pt idx="125">
                  <c:v>0.97060343301509089</c:v>
                </c:pt>
                <c:pt idx="126">
                  <c:v>0.97050602817580278</c:v>
                </c:pt>
                <c:pt idx="127">
                  <c:v>0.97040905258911159</c:v>
                </c:pt>
                <c:pt idx="128">
                  <c:v>0.97031250588175866</c:v>
                </c:pt>
                <c:pt idx="129">
                  <c:v>0.97021638753636075</c:v>
                </c:pt>
                <c:pt idx="130">
                  <c:v>0.97012069689947078</c:v>
                </c:pt>
                <c:pt idx="131">
                  <c:v>0.97002543318925005</c:v>
                </c:pt>
                <c:pt idx="132">
                  <c:v>0.96993059550277161</c:v>
                </c:pt>
                <c:pt idx="133">
                  <c:v>0.96983618282297068</c:v>
                </c:pt>
                <c:pt idx="134">
                  <c:v>0.96974219402526118</c:v>
                </c:pt>
                <c:pt idx="135">
                  <c:v>0.96964862788383277</c:v>
                </c:pt>
                <c:pt idx="136">
                  <c:v>0.96955548307764505</c:v>
                </c:pt>
                <c:pt idx="137">
                  <c:v>0.96946275819613059</c:v>
                </c:pt>
                <c:pt idx="138">
                  <c:v>0.96937045174462599</c:v>
                </c:pt>
                <c:pt idx="139">
                  <c:v>0.96927856214953745</c:v>
                </c:pt>
                <c:pt idx="140">
                  <c:v>0.96918708776325968</c:v>
                </c:pt>
                <c:pt idx="141">
                  <c:v>0.96909602686885399</c:v>
                </c:pt>
                <c:pt idx="142">
                  <c:v>0.96900537768450268</c:v>
                </c:pt>
                <c:pt idx="143">
                  <c:v>0.96891513836774634</c:v>
                </c:pt>
                <c:pt idx="144">
                  <c:v>0.96882530701951575</c:v>
                </c:pt>
                <c:pt idx="145">
                  <c:v>0.96873588168796831</c:v>
                </c:pt>
                <c:pt idx="146">
                  <c:v>0.96864686037213776</c:v>
                </c:pt>
                <c:pt idx="147">
                  <c:v>0.96855824102540655</c:v>
                </c:pt>
                <c:pt idx="148">
                  <c:v>0.96847002155880857</c:v>
                </c:pt>
                <c:pt idx="149">
                  <c:v>0.96838219984417095</c:v>
                </c:pt>
                <c:pt idx="150">
                  <c:v>0.96829477371710171</c:v>
                </c:pt>
                <c:pt idx="151">
                  <c:v>0.96820774097983164</c:v>
                </c:pt>
                <c:pt idx="152">
                  <c:v>0.96812109940391511</c:v>
                </c:pt>
                <c:pt idx="153">
                  <c:v>0.96803484673279994</c:v>
                </c:pt>
                <c:pt idx="154">
                  <c:v>0.96794898068426849</c:v>
                </c:pt>
                <c:pt idx="155">
                  <c:v>0.96786349895275936</c:v>
                </c:pt>
                <c:pt idx="156">
                  <c:v>0.96777839921157272</c:v>
                </c:pt>
                <c:pt idx="157">
                  <c:v>0.96769367911496662</c:v>
                </c:pt>
                <c:pt idx="158">
                  <c:v>0.967609336300148</c:v>
                </c:pt>
                <c:pt idx="159">
                  <c:v>0.96752536838916436</c:v>
                </c:pt>
                <c:pt idx="160">
                  <c:v>0.96744177299069989</c:v>
                </c:pt>
                <c:pt idx="161">
                  <c:v>0.96735854770178098</c:v>
                </c:pt>
                <c:pt idx="162">
                  <c:v>0.96727569010939518</c:v>
                </c:pt>
                <c:pt idx="163">
                  <c:v>0.96719319779202806</c:v>
                </c:pt>
                <c:pt idx="164">
                  <c:v>0.96711106832112048</c:v>
                </c:pt>
                <c:pt idx="165">
                  <c:v>0.96702929926245151</c:v>
                </c:pt>
                <c:pt idx="166">
                  <c:v>0.96694788817745037</c:v>
                </c:pt>
                <c:pt idx="167">
                  <c:v>0.96686683262443862</c:v>
                </c:pt>
                <c:pt idx="168">
                  <c:v>0.96678613015980863</c:v>
                </c:pt>
                <c:pt idx="169">
                  <c:v>0.96670577833913929</c:v>
                </c:pt>
                <c:pt idx="170">
                  <c:v>0.96662577471825317</c:v>
                </c:pt>
                <c:pt idx="171">
                  <c:v>0.96654611685421699</c:v>
                </c:pt>
                <c:pt idx="172">
                  <c:v>0.96646680230628745</c:v>
                </c:pt>
                <c:pt idx="173">
                  <c:v>0.9663878286368075</c:v>
                </c:pt>
                <c:pt idx="174">
                  <c:v>0.96630919341205246</c:v>
                </c:pt>
                <c:pt idx="175">
                  <c:v>0.96623089420302843</c:v>
                </c:pt>
                <c:pt idx="176">
                  <c:v>0.96615292858623003</c:v>
                </c:pt>
                <c:pt idx="177">
                  <c:v>0.96607529414435034</c:v>
                </c:pt>
                <c:pt idx="178">
                  <c:v>0.9659979884669555</c:v>
                </c:pt>
                <c:pt idx="179">
                  <c:v>0.96592100915111678</c:v>
                </c:pt>
                <c:pt idx="180">
                  <c:v>0.96584435380200828</c:v>
                </c:pt>
                <c:pt idx="181">
                  <c:v>0.96576802003346818</c:v>
                </c:pt>
                <c:pt idx="182">
                  <c:v>0.96569200546852807</c:v>
                </c:pt>
                <c:pt idx="183">
                  <c:v>0.96561630773990803</c:v>
                </c:pt>
                <c:pt idx="184">
                  <c:v>0.96554092449048368</c:v>
                </c:pt>
                <c:pt idx="185">
                  <c:v>0.96546585337372259</c:v>
                </c:pt>
                <c:pt idx="186">
                  <c:v>0.9653910920540939</c:v>
                </c:pt>
                <c:pt idx="187">
                  <c:v>0.96531663820745151</c:v>
                </c:pt>
                <c:pt idx="188">
                  <c:v>0.96524248952139113</c:v>
                </c:pt>
                <c:pt idx="189">
                  <c:v>0.96516864369558586</c:v>
                </c:pt>
                <c:pt idx="190">
                  <c:v>0.96509509844209529</c:v>
                </c:pt>
                <c:pt idx="191">
                  <c:v>0.96502185148565633</c:v>
                </c:pt>
                <c:pt idx="192">
                  <c:v>0.96494890056395188</c:v>
                </c:pt>
                <c:pt idx="193">
                  <c:v>0.96487624342785905</c:v>
                </c:pt>
                <c:pt idx="194">
                  <c:v>0.96480387784167942</c:v>
                </c:pt>
                <c:pt idx="195">
                  <c:v>0.96473180158335192</c:v>
                </c:pt>
                <c:pt idx="196">
                  <c:v>0.96466001244464739</c:v>
                </c:pt>
                <c:pt idx="197">
                  <c:v>0.96458850823134767</c:v>
                </c:pt>
                <c:pt idx="198">
                  <c:v>0.96451728676340942</c:v>
                </c:pt>
                <c:pt idx="199">
                  <c:v>0.96444634587511247</c:v>
                </c:pt>
                <c:pt idx="200">
                  <c:v>0.96437568341519453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CF-4862-8F37-003557E6E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72480"/>
        <c:axId val="41816064"/>
      </c:scatterChart>
      <c:valAx>
        <c:axId val="159172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576315442322012"/>
              <c:y val="0.943549233765134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16064"/>
        <c:crosses val="autoZero"/>
        <c:crossBetween val="midCat"/>
      </c:valAx>
      <c:valAx>
        <c:axId val="4181606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Efficiency (%)</a:t>
                </a:r>
              </a:p>
            </c:rich>
          </c:tx>
          <c:layout>
            <c:manualLayout>
              <c:xMode val="edge"/>
              <c:yMode val="edge"/>
              <c:x val="6.7750677506776052E-3"/>
              <c:y val="0.4274197781728969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172480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636970175475957"/>
          <c:y val="3.6290322580645726E-2"/>
          <c:w val="0.11788632112042907"/>
          <c:h val="4.23387096774193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97037571498782"/>
          <c:y val="5.9812039624079237E-2"/>
          <c:w val="0.80603751224324049"/>
          <c:h val="0.81048450596901189"/>
        </c:manualLayout>
      </c:layout>
      <c:scatterChart>
        <c:scatterStyle val="lineMarker"/>
        <c:varyColors val="0"/>
        <c:ser>
          <c:idx val="1"/>
          <c:order val="1"/>
          <c:tx>
            <c:v>Boost 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Calculations'!$O$9:$O$209</c:f>
              <c:numCache>
                <c:formatCode>0.000</c:formatCode>
                <c:ptCount val="201"/>
                <c:pt idx="0">
                  <c:v>0.51625560538116599</c:v>
                </c:pt>
                <c:pt idx="1">
                  <c:v>0.50324630945872062</c:v>
                </c:pt>
                <c:pt idx="2">
                  <c:v>0.49026147278548554</c:v>
                </c:pt>
                <c:pt idx="3">
                  <c:v>0.4772993746743095</c:v>
                </c:pt>
                <c:pt idx="4">
                  <c:v>0.46435845213849292</c:v>
                </c:pt>
                <c:pt idx="5">
                  <c:v>0.45143728222996515</c:v>
                </c:pt>
                <c:pt idx="6">
                  <c:v>0.43853456669912366</c:v>
                </c:pt>
                <c:pt idx="7">
                  <c:v>0.42564911862791804</c:v>
                </c:pt>
                <c:pt idx="8">
                  <c:v>0.41277985074626866</c:v>
                </c:pt>
                <c:pt idx="9">
                  <c:v>0.39992576518958428</c:v>
                </c:pt>
                <c:pt idx="10">
                  <c:v>0.38708594449418082</c:v>
                </c:pt>
                <c:pt idx="11">
                  <c:v>0.3742595436594997</c:v>
                </c:pt>
                <c:pt idx="12">
                  <c:v>0.36144578313253012</c:v>
                </c:pt>
                <c:pt idx="13">
                  <c:v>0.34864394259181097</c:v>
                </c:pt>
                <c:pt idx="14">
                  <c:v>0.33585335542667782</c:v>
                </c:pt>
                <c:pt idx="15">
                  <c:v>0.32307340382269212</c:v>
                </c:pt>
                <c:pt idx="16">
                  <c:v>0.31030351437699671</c:v>
                </c:pt>
                <c:pt idx="17">
                  <c:v>0.297543154178109</c:v>
                </c:pt>
                <c:pt idx="18">
                  <c:v>0.28479182729375491</c:v>
                </c:pt>
                <c:pt idx="19">
                  <c:v>0.2720490716180371</c:v>
                </c:pt>
                <c:pt idx="20">
                  <c:v>0.25931445603576753</c:v>
                </c:pt>
                <c:pt idx="21">
                  <c:v>0.24658757786735069</c:v>
                </c:pt>
                <c:pt idx="22">
                  <c:v>0.2338680605623647</c:v>
                </c:pt>
                <c:pt idx="23">
                  <c:v>0.22115555161404757</c:v>
                </c:pt>
                <c:pt idx="24">
                  <c:v>0.20844972067039111</c:v>
                </c:pt>
                <c:pt idx="25">
                  <c:v>0.19575025782055697</c:v>
                </c:pt>
                <c:pt idx="26">
                  <c:v>0.1830568720379146</c:v>
                </c:pt>
                <c:pt idx="27">
                  <c:v>0.17036928976325438</c:v>
                </c:pt>
                <c:pt idx="28">
                  <c:v>0.15768725361366626</c:v>
                </c:pt>
                <c:pt idx="29">
                  <c:v>0.14501052120427332</c:v>
                </c:pt>
                <c:pt idx="30">
                  <c:v>0.13233886407147416</c:v>
                </c:pt>
                <c:pt idx="31">
                  <c:v>0.11967206668763759</c:v>
                </c:pt>
                <c:pt idx="32">
                  <c:v>0.10700992555831257</c:v>
                </c:pt>
                <c:pt idx="33">
                  <c:v>9.4352248394004287E-2</c:v>
                </c:pt>
                <c:pt idx="34">
                  <c:v>0.10968749999999987</c:v>
                </c:pt>
                <c:pt idx="35">
                  <c:v>9.765625E-2</c:v>
                </c:pt>
                <c:pt idx="36">
                  <c:v>8.5625000000000132E-2</c:v>
                </c:pt>
                <c:pt idx="37">
                  <c:v>7.3593749999999972E-2</c:v>
                </c:pt>
                <c:pt idx="38">
                  <c:v>6.1562499999999964E-2</c:v>
                </c:pt>
                <c:pt idx="39">
                  <c:v>4.9531249999999805E-2</c:v>
                </c:pt>
                <c:pt idx="40">
                  <c:v>3.7499999999999943E-2</c:v>
                </c:pt>
                <c:pt idx="41">
                  <c:v>3.7499999999999999E-2</c:v>
                </c:pt>
                <c:pt idx="42">
                  <c:v>3.7499999999999999E-2</c:v>
                </c:pt>
                <c:pt idx="43">
                  <c:v>3.7499999999999999E-2</c:v>
                </c:pt>
                <c:pt idx="44">
                  <c:v>3.7499999999999999E-2</c:v>
                </c:pt>
                <c:pt idx="45">
                  <c:v>3.7499999999999999E-2</c:v>
                </c:pt>
                <c:pt idx="46">
                  <c:v>3.7499999999999999E-2</c:v>
                </c:pt>
                <c:pt idx="47">
                  <c:v>3.7499999999999999E-2</c:v>
                </c:pt>
                <c:pt idx="48">
                  <c:v>3.7499999999999999E-2</c:v>
                </c:pt>
                <c:pt idx="49">
                  <c:v>3.7499999999999999E-2</c:v>
                </c:pt>
                <c:pt idx="50">
                  <c:v>3.7499999999999999E-2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6-4E5B-818B-D49CF4A69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67520"/>
        <c:axId val="41873792"/>
      </c:scatterChart>
      <c:scatterChart>
        <c:scatterStyle val="lineMarker"/>
        <c:varyColors val="0"/>
        <c:ser>
          <c:idx val="0"/>
          <c:order val="0"/>
          <c:tx>
            <c:v>Buck D</c:v>
          </c:tx>
          <c:spPr>
            <a:ln w="3175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6.15</c:v>
                </c:pt>
                <c:pt idx="2">
                  <c:v>6.3</c:v>
                </c:pt>
                <c:pt idx="3">
                  <c:v>6.45</c:v>
                </c:pt>
                <c:pt idx="4">
                  <c:v>6.6</c:v>
                </c:pt>
                <c:pt idx="5">
                  <c:v>6.75</c:v>
                </c:pt>
                <c:pt idx="6">
                  <c:v>6.9</c:v>
                </c:pt>
                <c:pt idx="7">
                  <c:v>7.05</c:v>
                </c:pt>
                <c:pt idx="8">
                  <c:v>7.2</c:v>
                </c:pt>
                <c:pt idx="9">
                  <c:v>7.35</c:v>
                </c:pt>
                <c:pt idx="10">
                  <c:v>7.5</c:v>
                </c:pt>
                <c:pt idx="11">
                  <c:v>7.65</c:v>
                </c:pt>
                <c:pt idx="12">
                  <c:v>7.8</c:v>
                </c:pt>
                <c:pt idx="13">
                  <c:v>7.95</c:v>
                </c:pt>
                <c:pt idx="14">
                  <c:v>8.1</c:v>
                </c:pt>
                <c:pt idx="15">
                  <c:v>8.25</c:v>
                </c:pt>
                <c:pt idx="16">
                  <c:v>8.4</c:v>
                </c:pt>
                <c:pt idx="17">
                  <c:v>8.5500000000000007</c:v>
                </c:pt>
                <c:pt idx="18">
                  <c:v>8.6999999999999993</c:v>
                </c:pt>
                <c:pt idx="19">
                  <c:v>8.85</c:v>
                </c:pt>
                <c:pt idx="20">
                  <c:v>9</c:v>
                </c:pt>
                <c:pt idx="21">
                  <c:v>9.15</c:v>
                </c:pt>
                <c:pt idx="22">
                  <c:v>9.3000000000000007</c:v>
                </c:pt>
                <c:pt idx="23">
                  <c:v>9.4499999999999993</c:v>
                </c:pt>
                <c:pt idx="24">
                  <c:v>9.6</c:v>
                </c:pt>
                <c:pt idx="25">
                  <c:v>9.75</c:v>
                </c:pt>
                <c:pt idx="26">
                  <c:v>9.9</c:v>
                </c:pt>
                <c:pt idx="27">
                  <c:v>10.050000000000001</c:v>
                </c:pt>
                <c:pt idx="28">
                  <c:v>10.199999999999999</c:v>
                </c:pt>
                <c:pt idx="29">
                  <c:v>10.35</c:v>
                </c:pt>
                <c:pt idx="30">
                  <c:v>10.5</c:v>
                </c:pt>
                <c:pt idx="31">
                  <c:v>10.65</c:v>
                </c:pt>
                <c:pt idx="32">
                  <c:v>10.8</c:v>
                </c:pt>
                <c:pt idx="33">
                  <c:v>10.95</c:v>
                </c:pt>
                <c:pt idx="34">
                  <c:v>11.100000000000001</c:v>
                </c:pt>
                <c:pt idx="35">
                  <c:v>11.25</c:v>
                </c:pt>
                <c:pt idx="36">
                  <c:v>11.399999999999999</c:v>
                </c:pt>
                <c:pt idx="37">
                  <c:v>11.55</c:v>
                </c:pt>
                <c:pt idx="38">
                  <c:v>11.7</c:v>
                </c:pt>
                <c:pt idx="39">
                  <c:v>11.850000000000001</c:v>
                </c:pt>
                <c:pt idx="40">
                  <c:v>12</c:v>
                </c:pt>
                <c:pt idx="41">
                  <c:v>12.149999999999999</c:v>
                </c:pt>
                <c:pt idx="42">
                  <c:v>12.3</c:v>
                </c:pt>
                <c:pt idx="43">
                  <c:v>12.45</c:v>
                </c:pt>
                <c:pt idx="44">
                  <c:v>12.6</c:v>
                </c:pt>
                <c:pt idx="45">
                  <c:v>12.75</c:v>
                </c:pt>
                <c:pt idx="46">
                  <c:v>12.9</c:v>
                </c:pt>
                <c:pt idx="47">
                  <c:v>13.05</c:v>
                </c:pt>
                <c:pt idx="48">
                  <c:v>13.2</c:v>
                </c:pt>
                <c:pt idx="49">
                  <c:v>13.35</c:v>
                </c:pt>
                <c:pt idx="50">
                  <c:v>13.5</c:v>
                </c:pt>
                <c:pt idx="51">
                  <c:v>13.65</c:v>
                </c:pt>
                <c:pt idx="52">
                  <c:v>13.8</c:v>
                </c:pt>
                <c:pt idx="53">
                  <c:v>13.95</c:v>
                </c:pt>
                <c:pt idx="54">
                  <c:v>14.100000000000001</c:v>
                </c:pt>
                <c:pt idx="55">
                  <c:v>14.25</c:v>
                </c:pt>
                <c:pt idx="56">
                  <c:v>14.4</c:v>
                </c:pt>
                <c:pt idx="57">
                  <c:v>14.549999999999999</c:v>
                </c:pt>
                <c:pt idx="58">
                  <c:v>14.7</c:v>
                </c:pt>
                <c:pt idx="59">
                  <c:v>14.85</c:v>
                </c:pt>
                <c:pt idx="60">
                  <c:v>15</c:v>
                </c:pt>
                <c:pt idx="61">
                  <c:v>15.15</c:v>
                </c:pt>
                <c:pt idx="62">
                  <c:v>15.3</c:v>
                </c:pt>
                <c:pt idx="63">
                  <c:v>15.45</c:v>
                </c:pt>
                <c:pt idx="64">
                  <c:v>15.6</c:v>
                </c:pt>
                <c:pt idx="65">
                  <c:v>15.75</c:v>
                </c:pt>
                <c:pt idx="66">
                  <c:v>15.9</c:v>
                </c:pt>
                <c:pt idx="67">
                  <c:v>16.05</c:v>
                </c:pt>
                <c:pt idx="68">
                  <c:v>16.200000000000003</c:v>
                </c:pt>
                <c:pt idx="69">
                  <c:v>16.350000000000001</c:v>
                </c:pt>
                <c:pt idx="70">
                  <c:v>16.5</c:v>
                </c:pt>
                <c:pt idx="71">
                  <c:v>16.649999999999999</c:v>
                </c:pt>
                <c:pt idx="72">
                  <c:v>16.799999999999997</c:v>
                </c:pt>
                <c:pt idx="73">
                  <c:v>16.95</c:v>
                </c:pt>
                <c:pt idx="74">
                  <c:v>17.100000000000001</c:v>
                </c:pt>
                <c:pt idx="75">
                  <c:v>17.25</c:v>
                </c:pt>
                <c:pt idx="76">
                  <c:v>17.399999999999999</c:v>
                </c:pt>
                <c:pt idx="77">
                  <c:v>17.55</c:v>
                </c:pt>
                <c:pt idx="78">
                  <c:v>17.700000000000003</c:v>
                </c:pt>
                <c:pt idx="79">
                  <c:v>17.850000000000001</c:v>
                </c:pt>
                <c:pt idx="80">
                  <c:v>18</c:v>
                </c:pt>
                <c:pt idx="81">
                  <c:v>18.149999999999999</c:v>
                </c:pt>
                <c:pt idx="82">
                  <c:v>18.299999999999997</c:v>
                </c:pt>
                <c:pt idx="83">
                  <c:v>18.45</c:v>
                </c:pt>
                <c:pt idx="84">
                  <c:v>18.600000000000001</c:v>
                </c:pt>
                <c:pt idx="85">
                  <c:v>18.75</c:v>
                </c:pt>
                <c:pt idx="86">
                  <c:v>18.899999999999999</c:v>
                </c:pt>
                <c:pt idx="87">
                  <c:v>19.05</c:v>
                </c:pt>
                <c:pt idx="88">
                  <c:v>19.2</c:v>
                </c:pt>
                <c:pt idx="89">
                  <c:v>19.350000000000001</c:v>
                </c:pt>
                <c:pt idx="90">
                  <c:v>19.5</c:v>
                </c:pt>
                <c:pt idx="91">
                  <c:v>19.649999999999999</c:v>
                </c:pt>
                <c:pt idx="92">
                  <c:v>19.8</c:v>
                </c:pt>
                <c:pt idx="93">
                  <c:v>19.950000000000003</c:v>
                </c:pt>
                <c:pt idx="94">
                  <c:v>20.100000000000001</c:v>
                </c:pt>
                <c:pt idx="95">
                  <c:v>20.25</c:v>
                </c:pt>
                <c:pt idx="96">
                  <c:v>20.399999999999999</c:v>
                </c:pt>
                <c:pt idx="97">
                  <c:v>20.549999999999997</c:v>
                </c:pt>
                <c:pt idx="98">
                  <c:v>20.7</c:v>
                </c:pt>
                <c:pt idx="99">
                  <c:v>20.85</c:v>
                </c:pt>
                <c:pt idx="100">
                  <c:v>21</c:v>
                </c:pt>
                <c:pt idx="101">
                  <c:v>21.15</c:v>
                </c:pt>
                <c:pt idx="102">
                  <c:v>21.3</c:v>
                </c:pt>
                <c:pt idx="103">
                  <c:v>21.450000000000003</c:v>
                </c:pt>
                <c:pt idx="104">
                  <c:v>21.6</c:v>
                </c:pt>
                <c:pt idx="105">
                  <c:v>21.75</c:v>
                </c:pt>
                <c:pt idx="106">
                  <c:v>21.9</c:v>
                </c:pt>
                <c:pt idx="107">
                  <c:v>22.05</c:v>
                </c:pt>
                <c:pt idx="108">
                  <c:v>22.200000000000003</c:v>
                </c:pt>
                <c:pt idx="109">
                  <c:v>22.35</c:v>
                </c:pt>
                <c:pt idx="110">
                  <c:v>22.5</c:v>
                </c:pt>
                <c:pt idx="111">
                  <c:v>22.650000000000002</c:v>
                </c:pt>
                <c:pt idx="112">
                  <c:v>22.8</c:v>
                </c:pt>
                <c:pt idx="113">
                  <c:v>22.95</c:v>
                </c:pt>
                <c:pt idx="114">
                  <c:v>23.099999999999998</c:v>
                </c:pt>
                <c:pt idx="115">
                  <c:v>23.25</c:v>
                </c:pt>
                <c:pt idx="116">
                  <c:v>23.4</c:v>
                </c:pt>
                <c:pt idx="117">
                  <c:v>23.549999999999997</c:v>
                </c:pt>
                <c:pt idx="118">
                  <c:v>23.7</c:v>
                </c:pt>
                <c:pt idx="119">
                  <c:v>23.849999999999998</c:v>
                </c:pt>
                <c:pt idx="120">
                  <c:v>24</c:v>
                </c:pt>
                <c:pt idx="121">
                  <c:v>24.15</c:v>
                </c:pt>
                <c:pt idx="122">
                  <c:v>24.3</c:v>
                </c:pt>
                <c:pt idx="123">
                  <c:v>24.45</c:v>
                </c:pt>
                <c:pt idx="124">
                  <c:v>24.6</c:v>
                </c:pt>
                <c:pt idx="125">
                  <c:v>24.75</c:v>
                </c:pt>
                <c:pt idx="126">
                  <c:v>24.9</c:v>
                </c:pt>
                <c:pt idx="127">
                  <c:v>25.05</c:v>
                </c:pt>
                <c:pt idx="128">
                  <c:v>25.2</c:v>
                </c:pt>
                <c:pt idx="129">
                  <c:v>25.35</c:v>
                </c:pt>
                <c:pt idx="130">
                  <c:v>25.5</c:v>
                </c:pt>
                <c:pt idx="131">
                  <c:v>25.650000000000002</c:v>
                </c:pt>
                <c:pt idx="132">
                  <c:v>25.8</c:v>
                </c:pt>
                <c:pt idx="133">
                  <c:v>25.950000000000003</c:v>
                </c:pt>
                <c:pt idx="134">
                  <c:v>26.1</c:v>
                </c:pt>
                <c:pt idx="135">
                  <c:v>26.25</c:v>
                </c:pt>
                <c:pt idx="136">
                  <c:v>26.400000000000002</c:v>
                </c:pt>
                <c:pt idx="137">
                  <c:v>26.55</c:v>
                </c:pt>
                <c:pt idx="138">
                  <c:v>26.7</c:v>
                </c:pt>
                <c:pt idx="139">
                  <c:v>26.849999999999998</c:v>
                </c:pt>
                <c:pt idx="140">
                  <c:v>27</c:v>
                </c:pt>
                <c:pt idx="141">
                  <c:v>27.15</c:v>
                </c:pt>
                <c:pt idx="142">
                  <c:v>27.299999999999997</c:v>
                </c:pt>
                <c:pt idx="143">
                  <c:v>27.45</c:v>
                </c:pt>
                <c:pt idx="144">
                  <c:v>27.599999999999998</c:v>
                </c:pt>
                <c:pt idx="145">
                  <c:v>27.75</c:v>
                </c:pt>
                <c:pt idx="146">
                  <c:v>27.9</c:v>
                </c:pt>
                <c:pt idx="147">
                  <c:v>28.05</c:v>
                </c:pt>
                <c:pt idx="148">
                  <c:v>28.2</c:v>
                </c:pt>
                <c:pt idx="149">
                  <c:v>28.35</c:v>
                </c:pt>
                <c:pt idx="150">
                  <c:v>28.5</c:v>
                </c:pt>
                <c:pt idx="151">
                  <c:v>28.65</c:v>
                </c:pt>
                <c:pt idx="152">
                  <c:v>28.8</c:v>
                </c:pt>
                <c:pt idx="153">
                  <c:v>28.95</c:v>
                </c:pt>
                <c:pt idx="154">
                  <c:v>29.1</c:v>
                </c:pt>
                <c:pt idx="155">
                  <c:v>29.25</c:v>
                </c:pt>
                <c:pt idx="156">
                  <c:v>29.400000000000002</c:v>
                </c:pt>
                <c:pt idx="157">
                  <c:v>29.55</c:v>
                </c:pt>
                <c:pt idx="158">
                  <c:v>29.700000000000003</c:v>
                </c:pt>
                <c:pt idx="159">
                  <c:v>29.85</c:v>
                </c:pt>
                <c:pt idx="160">
                  <c:v>30</c:v>
                </c:pt>
                <c:pt idx="161">
                  <c:v>30.150000000000002</c:v>
                </c:pt>
                <c:pt idx="162">
                  <c:v>30.3</c:v>
                </c:pt>
                <c:pt idx="163">
                  <c:v>30.45</c:v>
                </c:pt>
                <c:pt idx="164">
                  <c:v>30.599999999999998</c:v>
                </c:pt>
                <c:pt idx="165">
                  <c:v>30.75</c:v>
                </c:pt>
                <c:pt idx="166">
                  <c:v>30.9</c:v>
                </c:pt>
                <c:pt idx="167">
                  <c:v>31.049999999999997</c:v>
                </c:pt>
                <c:pt idx="168">
                  <c:v>31.2</c:v>
                </c:pt>
                <c:pt idx="169">
                  <c:v>31.349999999999998</c:v>
                </c:pt>
                <c:pt idx="170">
                  <c:v>31.5</c:v>
                </c:pt>
                <c:pt idx="171">
                  <c:v>31.65</c:v>
                </c:pt>
                <c:pt idx="172">
                  <c:v>31.8</c:v>
                </c:pt>
                <c:pt idx="173">
                  <c:v>31.95</c:v>
                </c:pt>
                <c:pt idx="174">
                  <c:v>32.1</c:v>
                </c:pt>
                <c:pt idx="175">
                  <c:v>32.25</c:v>
                </c:pt>
                <c:pt idx="176">
                  <c:v>32.4</c:v>
                </c:pt>
                <c:pt idx="177">
                  <c:v>32.549999999999997</c:v>
                </c:pt>
                <c:pt idx="178">
                  <c:v>32.700000000000003</c:v>
                </c:pt>
                <c:pt idx="179">
                  <c:v>32.85</c:v>
                </c:pt>
                <c:pt idx="180">
                  <c:v>33</c:v>
                </c:pt>
                <c:pt idx="181">
                  <c:v>33.150000000000006</c:v>
                </c:pt>
                <c:pt idx="182">
                  <c:v>33.299999999999997</c:v>
                </c:pt>
                <c:pt idx="183">
                  <c:v>33.450000000000003</c:v>
                </c:pt>
                <c:pt idx="184">
                  <c:v>33.6</c:v>
                </c:pt>
                <c:pt idx="185">
                  <c:v>33.75</c:v>
                </c:pt>
                <c:pt idx="186">
                  <c:v>33.900000000000006</c:v>
                </c:pt>
                <c:pt idx="187">
                  <c:v>34.049999999999997</c:v>
                </c:pt>
                <c:pt idx="188">
                  <c:v>34.200000000000003</c:v>
                </c:pt>
                <c:pt idx="189">
                  <c:v>34.349999999999994</c:v>
                </c:pt>
                <c:pt idx="190">
                  <c:v>34.5</c:v>
                </c:pt>
                <c:pt idx="191">
                  <c:v>34.65</c:v>
                </c:pt>
                <c:pt idx="192">
                  <c:v>34.799999999999997</c:v>
                </c:pt>
                <c:pt idx="193">
                  <c:v>34.950000000000003</c:v>
                </c:pt>
                <c:pt idx="194">
                  <c:v>35.099999999999994</c:v>
                </c:pt>
                <c:pt idx="195">
                  <c:v>35.25</c:v>
                </c:pt>
                <c:pt idx="196">
                  <c:v>35.4</c:v>
                </c:pt>
                <c:pt idx="197">
                  <c:v>35.549999999999997</c:v>
                </c:pt>
                <c:pt idx="198">
                  <c:v>35.700000000000003</c:v>
                </c:pt>
                <c:pt idx="199">
                  <c:v>35.85</c:v>
                </c:pt>
                <c:pt idx="200">
                  <c:v>36</c:v>
                </c:pt>
              </c:numCache>
            </c:numRef>
          </c:xVal>
          <c:yVal>
            <c:numRef>
              <c:f>'Efficiency vs VIN Calculations'!$N$9:$N$209</c:f>
              <c:numCache>
                <c:formatCode>0.000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0.96250000000000002</c:v>
                </c:pt>
                <c:pt idx="35">
                  <c:v>0.96250000000000002</c:v>
                </c:pt>
                <c:pt idx="36">
                  <c:v>0.96250000000000002</c:v>
                </c:pt>
                <c:pt idx="37">
                  <c:v>0.96250000000000002</c:v>
                </c:pt>
                <c:pt idx="38">
                  <c:v>0.96250000000000002</c:v>
                </c:pt>
                <c:pt idx="39">
                  <c:v>0.96250000000000002</c:v>
                </c:pt>
                <c:pt idx="40">
                  <c:v>0.96250000000000002</c:v>
                </c:pt>
                <c:pt idx="41">
                  <c:v>0.95061728395061751</c:v>
                </c:pt>
                <c:pt idx="42">
                  <c:v>0.93902439024390238</c:v>
                </c:pt>
                <c:pt idx="43">
                  <c:v>0.92771084337349408</c:v>
                </c:pt>
                <c:pt idx="44">
                  <c:v>0.91666666666666674</c:v>
                </c:pt>
                <c:pt idx="45">
                  <c:v>0.90588235294117647</c:v>
                </c:pt>
                <c:pt idx="46">
                  <c:v>0.89534883720930236</c:v>
                </c:pt>
                <c:pt idx="47">
                  <c:v>0.88505747126436785</c:v>
                </c:pt>
                <c:pt idx="48">
                  <c:v>0.87500000000000011</c:v>
                </c:pt>
                <c:pt idx="49">
                  <c:v>0.8651685393258427</c:v>
                </c:pt>
                <c:pt idx="50">
                  <c:v>0.85555555555555551</c:v>
                </c:pt>
                <c:pt idx="51">
                  <c:v>0.88747262374069202</c:v>
                </c:pt>
                <c:pt idx="52">
                  <c:v>0.87785961871750418</c:v>
                </c:pt>
                <c:pt idx="53">
                  <c:v>0.86845263609087009</c:v>
                </c:pt>
                <c:pt idx="54">
                  <c:v>0.85924512298558087</c:v>
                </c:pt>
                <c:pt idx="55">
                  <c:v>0.85023080151070074</c:v>
                </c:pt>
                <c:pt idx="56">
                  <c:v>0.84140365448504972</c:v>
                </c:pt>
                <c:pt idx="57">
                  <c:v>0.83275791204274563</c:v>
                </c:pt>
                <c:pt idx="58">
                  <c:v>0.82428803905614323</c:v>
                </c:pt>
                <c:pt idx="59">
                  <c:v>0.8159887233185662</c:v>
                </c:pt>
                <c:pt idx="60">
                  <c:v>0.80785486443381171</c:v>
                </c:pt>
                <c:pt idx="61">
                  <c:v>0.79988156336360039</c:v>
                </c:pt>
                <c:pt idx="62">
                  <c:v>0.79206411258795928</c:v>
                </c:pt>
                <c:pt idx="63">
                  <c:v>0.78439798683701123</c:v>
                </c:pt>
                <c:pt idx="64">
                  <c:v>0.77687883435582816</c:v>
                </c:pt>
                <c:pt idx="65">
                  <c:v>0.76950246866691985</c:v>
                </c:pt>
                <c:pt idx="66">
                  <c:v>0.76226486079759215</c:v>
                </c:pt>
                <c:pt idx="67">
                  <c:v>0.75516213194185611</c:v>
                </c:pt>
                <c:pt idx="68">
                  <c:v>0.74819054652880346</c:v>
                </c:pt>
                <c:pt idx="69">
                  <c:v>0.74134650567142335</c:v>
                </c:pt>
                <c:pt idx="70">
                  <c:v>0.73462654097171864</c:v>
                </c:pt>
                <c:pt idx="71">
                  <c:v>0.72802730865971976</c:v>
                </c:pt>
                <c:pt idx="72">
                  <c:v>0.72154558404558422</c:v>
                </c:pt>
                <c:pt idx="73">
                  <c:v>0.71517825626544307</c:v>
                </c:pt>
                <c:pt idx="74">
                  <c:v>0.70892232330300908</c:v>
                </c:pt>
                <c:pt idx="75">
                  <c:v>0.70277488727020465</c:v>
                </c:pt>
                <c:pt idx="76">
                  <c:v>0.69673314993122426</c:v>
                </c:pt>
                <c:pt idx="77">
                  <c:v>0.69079440845550633</c:v>
                </c:pt>
                <c:pt idx="78">
                  <c:v>0.68495605138607163</c:v>
                </c:pt>
                <c:pt idx="79">
                  <c:v>0.67921555481059337</c:v>
                </c:pt>
                <c:pt idx="80">
                  <c:v>0.67357047872340425</c:v>
                </c:pt>
                <c:pt idx="81">
                  <c:v>0.66801846356742511</c:v>
                </c:pt>
                <c:pt idx="82">
                  <c:v>0.66255722694571628</c:v>
                </c:pt>
                <c:pt idx="83">
                  <c:v>0.65718456049302632</c:v>
                </c:pt>
                <c:pt idx="84">
                  <c:v>0.65189832689832683</c:v>
                </c:pt>
                <c:pt idx="85">
                  <c:v>0.64669645706990109</c:v>
                </c:pt>
                <c:pt idx="86">
                  <c:v>0.64157694743508553</c:v>
                </c:pt>
                <c:pt idx="87">
                  <c:v>0.63653785736726354</c:v>
                </c:pt>
                <c:pt idx="88">
                  <c:v>0.63157730673316714</c:v>
                </c:pt>
                <c:pt idx="89">
                  <c:v>0.62669347355397464</c:v>
                </c:pt>
                <c:pt idx="90">
                  <c:v>0.6218845917740945</c:v>
                </c:pt>
                <c:pt idx="91">
                  <c:v>0.61714894913189167</c:v>
                </c:pt>
                <c:pt idx="92">
                  <c:v>0.61248488512696497</c:v>
                </c:pt>
                <c:pt idx="93">
                  <c:v>0.60789078907890781</c:v>
                </c:pt>
                <c:pt idx="94">
                  <c:v>0.6033650982727814</c:v>
                </c:pt>
                <c:pt idx="95">
                  <c:v>0.59890629618681646</c:v>
                </c:pt>
                <c:pt idx="96">
                  <c:v>0.59451291079812207</c:v>
                </c:pt>
                <c:pt idx="97">
                  <c:v>0.59018351296242366</c:v>
                </c:pt>
                <c:pt idx="98">
                  <c:v>0.58591671486408337</c:v>
                </c:pt>
                <c:pt idx="99">
                  <c:v>0.58171116853287397</c:v>
                </c:pt>
                <c:pt idx="100">
                  <c:v>0.57756556442417328</c:v>
                </c:pt>
                <c:pt idx="101">
                  <c:v>0.57347863005943966</c:v>
                </c:pt>
                <c:pt idx="102">
                  <c:v>0.56944912872400222</c:v>
                </c:pt>
                <c:pt idx="103">
                  <c:v>0.56547585821936919</c:v>
                </c:pt>
                <c:pt idx="104">
                  <c:v>0.56155764966740573</c:v>
                </c:pt>
                <c:pt idx="105">
                  <c:v>0.55769336636388656</c:v>
                </c:pt>
                <c:pt idx="106">
                  <c:v>0.55388190267905968</c:v>
                </c:pt>
                <c:pt idx="107">
                  <c:v>0.55012218300298665</c:v>
                </c:pt>
                <c:pt idx="108">
                  <c:v>0.54641316073354906</c:v>
                </c:pt>
                <c:pt idx="109">
                  <c:v>0.54275381730511651</c:v>
                </c:pt>
                <c:pt idx="110">
                  <c:v>0.53914316125598727</c:v>
                </c:pt>
                <c:pt idx="111">
                  <c:v>0.53558022733280464</c:v>
                </c:pt>
                <c:pt idx="112">
                  <c:v>0.53206407563025204</c:v>
                </c:pt>
                <c:pt idx="113">
                  <c:v>0.52859379076441437</c:v>
                </c:pt>
                <c:pt idx="114">
                  <c:v>0.52516848107827896</c:v>
                </c:pt>
                <c:pt idx="115">
                  <c:v>0.52178727787792945</c:v>
                </c:pt>
                <c:pt idx="116">
                  <c:v>0.51844933469805532</c:v>
                </c:pt>
                <c:pt idx="117">
                  <c:v>0.51515382659547426</c:v>
                </c:pt>
                <c:pt idx="118">
                  <c:v>0.51189994946942907</c:v>
                </c:pt>
                <c:pt idx="119">
                  <c:v>0.5086869194074819</c:v>
                </c:pt>
                <c:pt idx="120">
                  <c:v>0.50551397205588822</c:v>
                </c:pt>
                <c:pt idx="121">
                  <c:v>0.50238036201338954</c:v>
                </c:pt>
                <c:pt idx="122">
                  <c:v>0.49928536224741249</c:v>
                </c:pt>
                <c:pt idx="123">
                  <c:v>0.4962282635317169</c:v>
                </c:pt>
                <c:pt idx="124">
                  <c:v>0.49320837390457639</c:v>
                </c:pt>
                <c:pt idx="125">
                  <c:v>0.49022501814662472</c:v>
                </c:pt>
                <c:pt idx="126">
                  <c:v>0.48727753727753731</c:v>
                </c:pt>
                <c:pt idx="127">
                  <c:v>0.48436528807076262</c:v>
                </c:pt>
                <c:pt idx="128">
                  <c:v>0.48148764258555132</c:v>
                </c:pt>
                <c:pt idx="129">
                  <c:v>0.47864398771556815</c:v>
                </c:pt>
                <c:pt idx="130">
                  <c:v>0.47583372475340535</c:v>
                </c:pt>
                <c:pt idx="131">
                  <c:v>0.47305626897034786</c:v>
                </c:pt>
                <c:pt idx="132">
                  <c:v>0.47031104921077066</c:v>
                </c:pt>
                <c:pt idx="133">
                  <c:v>0.46759750750057694</c:v>
                </c:pt>
                <c:pt idx="134">
                  <c:v>0.46491509866911424</c:v>
                </c:pt>
                <c:pt idx="135">
                  <c:v>0.46226328998402921</c:v>
                </c:pt>
                <c:pt idx="136">
                  <c:v>0.45964156079854807</c:v>
                </c:pt>
                <c:pt idx="137">
                  <c:v>0.45704940221069251</c:v>
                </c:pt>
                <c:pt idx="138">
                  <c:v>0.45448631673396145</c:v>
                </c:pt>
                <c:pt idx="139">
                  <c:v>0.45195181797903194</c:v>
                </c:pt>
                <c:pt idx="140">
                  <c:v>0.44944543034605144</c:v>
                </c:pt>
                <c:pt idx="141">
                  <c:v>0.44696668872711232</c:v>
                </c:pt>
                <c:pt idx="142">
                  <c:v>0.44451513821851696</c:v>
                </c:pt>
                <c:pt idx="143">
                  <c:v>0.44209033384246127</c:v>
                </c:pt>
                <c:pt idx="144">
                  <c:v>0.4396918402777778</c:v>
                </c:pt>
                <c:pt idx="145">
                  <c:v>0.43731923159939562</c:v>
                </c:pt>
                <c:pt idx="146">
                  <c:v>0.4349720910261915</c:v>
                </c:pt>
                <c:pt idx="147">
                  <c:v>0.4326500106769165</c:v>
                </c:pt>
                <c:pt idx="148">
                  <c:v>0.43035259133389975</c:v>
                </c:pt>
                <c:pt idx="149">
                  <c:v>0.42807944221424044</c:v>
                </c:pt>
                <c:pt idx="150">
                  <c:v>0.42583018074821355</c:v>
                </c:pt>
                <c:pt idx="151">
                  <c:v>0.42360443236462475</c:v>
                </c:pt>
                <c:pt idx="152">
                  <c:v>0.42140183028286188</c:v>
                </c:pt>
                <c:pt idx="153">
                  <c:v>0.4192220153114008</c:v>
                </c:pt>
                <c:pt idx="154">
                  <c:v>0.41706463565253188</c:v>
                </c:pt>
                <c:pt idx="155">
                  <c:v>0.41492934671308623</c:v>
                </c:pt>
                <c:pt idx="156">
                  <c:v>0.41281581092094538</c:v>
                </c:pt>
                <c:pt idx="157">
                  <c:v>0.41072369754713156</c:v>
                </c:pt>
                <c:pt idx="158">
                  <c:v>0.40865268253327952</c:v>
                </c:pt>
                <c:pt idx="159">
                  <c:v>0.40660244832430259</c:v>
                </c:pt>
                <c:pt idx="160">
                  <c:v>0.4045726837060703</c:v>
                </c:pt>
                <c:pt idx="161">
                  <c:v>0.40256308364792365</c:v>
                </c:pt>
                <c:pt idx="162">
                  <c:v>0.40057334914986159</c:v>
                </c:pt>
                <c:pt idx="163">
                  <c:v>0.3986031870942357</c:v>
                </c:pt>
                <c:pt idx="164">
                  <c:v>0.39665231010180113</c:v>
                </c:pt>
                <c:pt idx="165">
                  <c:v>0.39472043639197352</c:v>
                </c:pt>
                <c:pt idx="166">
                  <c:v>0.39280728964715006</c:v>
                </c:pt>
                <c:pt idx="167">
                  <c:v>0.39091259888095703</c:v>
                </c:pt>
                <c:pt idx="168">
                  <c:v>0.38903609831029184</c:v>
                </c:pt>
                <c:pt idx="169">
                  <c:v>0.38717752723103382</c:v>
                </c:pt>
                <c:pt idx="170">
                  <c:v>0.38533662989729933</c:v>
                </c:pt>
                <c:pt idx="171">
                  <c:v>0.38351315540412645</c:v>
                </c:pt>
                <c:pt idx="172">
                  <c:v>0.381706857573474</c:v>
                </c:pt>
                <c:pt idx="173">
                  <c:v>0.37991749484342774</c:v>
                </c:pt>
                <c:pt idx="174">
                  <c:v>0.37814483016050759</c:v>
                </c:pt>
                <c:pt idx="175">
                  <c:v>0.37638863087497676</c:v>
                </c:pt>
                <c:pt idx="176">
                  <c:v>0.37464866863905322</c:v>
                </c:pt>
                <c:pt idx="177">
                  <c:v>0.37292471930793297</c:v>
                </c:pt>
                <c:pt idx="178">
                  <c:v>0.37121656284353233</c:v>
                </c:pt>
                <c:pt idx="179">
                  <c:v>0.36952398322086444</c:v>
                </c:pt>
                <c:pt idx="180">
                  <c:v>0.36784676833696439</c:v>
                </c:pt>
                <c:pt idx="181">
                  <c:v>0.36618470992228436</c:v>
                </c:pt>
                <c:pt idx="182">
                  <c:v>0.36453760345448</c:v>
                </c:pt>
                <c:pt idx="183">
                  <c:v>0.36290524807451185</c:v>
                </c:pt>
                <c:pt idx="184">
                  <c:v>0.36128744650499278</c:v>
                </c:pt>
                <c:pt idx="185">
                  <c:v>0.35968400497070829</c:v>
                </c:pt>
                <c:pt idx="186">
                  <c:v>0.35809473312124418</c:v>
                </c:pt>
                <c:pt idx="187">
                  <c:v>0.35651944395565721</c:v>
                </c:pt>
                <c:pt idx="188">
                  <c:v>0.35495795374912398</c:v>
                </c:pt>
                <c:pt idx="189">
                  <c:v>0.35341008198151058</c:v>
                </c:pt>
                <c:pt idx="190">
                  <c:v>0.35187565126780129</c:v>
                </c:pt>
                <c:pt idx="191">
                  <c:v>0.35035448729033369</c:v>
                </c:pt>
                <c:pt idx="192">
                  <c:v>0.34884641873278238</c:v>
                </c:pt>
                <c:pt idx="193">
                  <c:v>0.34735127721584086</c:v>
                </c:pt>
                <c:pt idx="194">
                  <c:v>0.34586889723455105</c:v>
                </c:pt>
                <c:pt idx="195">
                  <c:v>0.34439911609722929</c:v>
                </c:pt>
                <c:pt idx="196">
                  <c:v>0.34294177386594443</c:v>
                </c:pt>
                <c:pt idx="197">
                  <c:v>0.3414967132984999</c:v>
                </c:pt>
                <c:pt idx="198">
                  <c:v>0.34006377979187641</c:v>
                </c:pt>
                <c:pt idx="199">
                  <c:v>0.33864282132709339</c:v>
                </c:pt>
                <c:pt idx="200">
                  <c:v>0.33723368841544604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E6-4E5B-818B-D49CF4A69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59648"/>
        <c:axId val="41875712"/>
      </c:scatterChart>
      <c:valAx>
        <c:axId val="41867520"/>
        <c:scaling>
          <c:orientation val="minMax"/>
          <c:max val="18"/>
          <c:min val="6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Input</a:t>
                </a:r>
                <a:r>
                  <a:rPr lang="en-US" sz="1200" baseline="0"/>
                  <a:t> Voltage (V)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42044692620593743"/>
              <c:y val="0.943549233765134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73792"/>
        <c:crosses val="autoZero"/>
        <c:crossBetween val="midCat"/>
      </c:valAx>
      <c:valAx>
        <c:axId val="41873792"/>
        <c:scaling>
          <c:orientation val="minMax"/>
          <c:max val="0.5500000000000000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>
                    <a:solidFill>
                      <a:srgbClr val="FF0000"/>
                    </a:solidFill>
                  </a:rPr>
                  <a:t>Boost Duty Cycle</a:t>
                </a:r>
              </a:p>
            </c:rich>
          </c:tx>
          <c:layout>
            <c:manualLayout>
              <c:xMode val="edge"/>
              <c:yMode val="edge"/>
              <c:x val="1.7399239437699769E-2"/>
              <c:y val="0.36290364914063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67520"/>
        <c:crosses val="autoZero"/>
        <c:crossBetween val="midCat"/>
        <c:majorUnit val="0.1"/>
        <c:minorUnit val="5.000000000000001E-2"/>
      </c:valAx>
      <c:valAx>
        <c:axId val="41875712"/>
        <c:scaling>
          <c:orientation val="minMax"/>
          <c:max val="1.05"/>
          <c:min val="0.5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1">
                    <a:solidFill>
                      <a:srgbClr val="0000FF"/>
                    </a:solidFill>
                  </a:defRPr>
                </a:pPr>
                <a:r>
                  <a:rPr lang="en-US" sz="1200" b="1">
                    <a:solidFill>
                      <a:srgbClr val="0000FF"/>
                    </a:solidFill>
                  </a:rPr>
                  <a:t>Buck Duty Cycle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 b="1">
                <a:solidFill>
                  <a:srgbClr val="0000FF"/>
                </a:solidFill>
              </a:defRPr>
            </a:pPr>
            <a:endParaRPr lang="en-US"/>
          </a:p>
        </c:txPr>
        <c:crossAx val="158859648"/>
        <c:crosses val="max"/>
        <c:crossBetween val="midCat"/>
        <c:majorUnit val="0.1"/>
      </c:valAx>
      <c:valAx>
        <c:axId val="1588596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1875712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773316184082571"/>
          <c:y val="0.14112903225806453"/>
          <c:w val="0.15360806990759621"/>
          <c:h val="0.107866819066971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 MOSFET Temp Rise</a:t>
            </a:r>
          </a:p>
        </c:rich>
      </c:tx>
      <c:layout>
        <c:manualLayout>
          <c:xMode val="edge"/>
          <c:yMode val="edge"/>
          <c:x val="0.10222965146116514"/>
          <c:y val="5.3971744656178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4104795743185"/>
          <c:y val="0.15757606845026328"/>
          <c:w val="0.85614122031885154"/>
          <c:h val="0.71717313204926625"/>
        </c:manualLayout>
      </c:layout>
      <c:scatterChart>
        <c:scatterStyle val="lineMarker"/>
        <c:varyColors val="0"/>
        <c:ser>
          <c:idx val="0"/>
          <c:order val="0"/>
          <c:tx>
            <c:strRef>
              <c:f>'Efficiency vs Load Calculations'!$BE$8</c:f>
              <c:strCache>
                <c:ptCount val="1"/>
                <c:pt idx="0">
                  <c:v>Boost ''CONTROL'' MOSFET Temp Rise</c:v>
                </c:pt>
              </c:strCache>
            </c:strRef>
          </c:tx>
          <c:spPr>
            <a:ln w="3175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xVal>
          <c:yVal>
            <c:numRef>
              <c:f>'Efficiency vs Load Calculations'!$BE$9:$BE$109</c:f>
              <c:numCache>
                <c:formatCode>0.0</c:formatCode>
                <c:ptCount val="101"/>
                <c:pt idx="0">
                  <c:v>4.5079047358993405</c:v>
                </c:pt>
                <c:pt idx="1">
                  <c:v>4.5391439703246244</c:v>
                </c:pt>
                <c:pt idx="2">
                  <c:v>4.5704916737493555</c:v>
                </c:pt>
                <c:pt idx="3">
                  <c:v>4.6019478466201775</c:v>
                </c:pt>
                <c:pt idx="4">
                  <c:v>4.6335124896814985</c:v>
                </c:pt>
                <c:pt idx="5">
                  <c:v>4.6651856039754964</c:v>
                </c:pt>
                <c:pt idx="6">
                  <c:v>4.6969671908421304</c:v>
                </c:pt>
                <c:pt idx="7">
                  <c:v>4.7288572519191368</c:v>
                </c:pt>
                <c:pt idx="8">
                  <c:v>4.7608557891420604</c:v>
                </c:pt>
                <c:pt idx="9">
                  <c:v>4.7929628047442465</c:v>
                </c:pt>
                <c:pt idx="10">
                  <c:v>4.8251783012568694</c:v>
                </c:pt>
                <c:pt idx="11">
                  <c:v>4.8575022815089444</c:v>
                </c:pt>
                <c:pt idx="12">
                  <c:v>4.8899347486273461</c:v>
                </c:pt>
                <c:pt idx="13">
                  <c:v>4.9224757060368312</c:v>
                </c:pt>
                <c:pt idx="14">
                  <c:v>4.9551251574600608</c:v>
                </c:pt>
                <c:pt idx="15">
                  <c:v>4.9878831069176215</c:v>
                </c:pt>
                <c:pt idx="16">
                  <c:v>5.0207495587280615</c:v>
                </c:pt>
                <c:pt idx="17">
                  <c:v>5.0537245175079057</c:v>
                </c:pt>
                <c:pt idx="18">
                  <c:v>5.0868079881716977</c:v>
                </c:pt>
                <c:pt idx="19">
                  <c:v>5.1199999759320267</c:v>
                </c:pt>
                <c:pt idx="20">
                  <c:v>5.1533004862995666</c:v>
                </c:pt>
                <c:pt idx="21">
                  <c:v>5.186709525083109</c:v>
                </c:pt>
                <c:pt idx="22">
                  <c:v>5.2202270983896017</c:v>
                </c:pt>
                <c:pt idx="23">
                  <c:v>5.2538532126241888</c:v>
                </c:pt>
                <c:pt idx="24">
                  <c:v>5.2875878744902574</c:v>
                </c:pt>
                <c:pt idx="25">
                  <c:v>5.3214310909894813</c:v>
                </c:pt>
                <c:pt idx="26">
                  <c:v>5.3553828694218613</c:v>
                </c:pt>
                <c:pt idx="27">
                  <c:v>5.3894432173857805</c:v>
                </c:pt>
                <c:pt idx="28">
                  <c:v>5.4236121427780546</c:v>
                </c:pt>
                <c:pt idx="29">
                  <c:v>5.4578896537939787</c:v>
                </c:pt>
                <c:pt idx="30">
                  <c:v>5.4922757589273878</c:v>
                </c:pt>
                <c:pt idx="31">
                  <c:v>5.5267704669707118</c:v>
                </c:pt>
                <c:pt idx="32">
                  <c:v>5.5613737870150297</c:v>
                </c:pt>
                <c:pt idx="33">
                  <c:v>5.5960857284501371</c:v>
                </c:pt>
                <c:pt idx="34">
                  <c:v>5.6309063009646039</c:v>
                </c:pt>
                <c:pt idx="35">
                  <c:v>5.6658355145458401</c:v>
                </c:pt>
                <c:pt idx="36">
                  <c:v>5.7008733794801607</c:v>
                </c:pt>
                <c:pt idx="37">
                  <c:v>5.7360199063528565</c:v>
                </c:pt>
                <c:pt idx="38">
                  <c:v>5.7712751060482654</c:v>
                </c:pt>
                <c:pt idx="39">
                  <c:v>5.8066389897498398</c:v>
                </c:pt>
                <c:pt idx="40">
                  <c:v>5.8421115689402265</c:v>
                </c:pt>
                <c:pt idx="41">
                  <c:v>5.8776928554013397</c:v>
                </c:pt>
                <c:pt idx="42">
                  <c:v>5.9133828612144406</c:v>
                </c:pt>
                <c:pt idx="43">
                  <c:v>5.9491815987602168</c:v>
                </c:pt>
                <c:pt idx="44">
                  <c:v>5.9850890807188684</c:v>
                </c:pt>
                <c:pt idx="45">
                  <c:v>6.0211053200701876</c:v>
                </c:pt>
                <c:pt idx="46">
                  <c:v>6.0572303300936463</c:v>
                </c:pt>
                <c:pt idx="47">
                  <c:v>6.0934641243684879</c:v>
                </c:pt>
                <c:pt idx="48">
                  <c:v>6.1298067167738131</c:v>
                </c:pt>
                <c:pt idx="49">
                  <c:v>6.1662581214886751</c:v>
                </c:pt>
                <c:pt idx="50">
                  <c:v>6.2028183529921721</c:v>
                </c:pt>
                <c:pt idx="51">
                  <c:v>6.2394874260635484</c:v>
                </c:pt>
                <c:pt idx="52">
                  <c:v>6.2762653557822841</c:v>
                </c:pt>
                <c:pt idx="53">
                  <c:v>6.3131521575282052</c:v>
                </c:pt>
                <c:pt idx="54">
                  <c:v>6.3501478469815797</c:v>
                </c:pt>
                <c:pt idx="55">
                  <c:v>6.3872524401232251</c:v>
                </c:pt>
                <c:pt idx="56">
                  <c:v>6.4244659532346136</c:v>
                </c:pt>
                <c:pt idx="57">
                  <c:v>6.4617884028979793</c:v>
                </c:pt>
                <c:pt idx="58">
                  <c:v>6.4992198059964315</c:v>
                </c:pt>
                <c:pt idx="59">
                  <c:v>6.5367601797140686</c:v>
                </c:pt>
                <c:pt idx="60">
                  <c:v>6.5744095415360828</c:v>
                </c:pt>
                <c:pt idx="61">
                  <c:v>6.6121679092488925</c:v>
                </c:pt>
                <c:pt idx="62">
                  <c:v>6.6500353009402451</c:v>
                </c:pt>
                <c:pt idx="63">
                  <c:v>6.6880117349993498</c:v>
                </c:pt>
                <c:pt idx="64">
                  <c:v>6.726097230116995</c:v>
                </c:pt>
                <c:pt idx="65">
                  <c:v>6.7642918052856684</c:v>
                </c:pt>
                <c:pt idx="66">
                  <c:v>6.8025954797996935</c:v>
                </c:pt>
                <c:pt idx="67">
                  <c:v>6.8410082732553503</c:v>
                </c:pt>
                <c:pt idx="68">
                  <c:v>6.8795302055510126</c:v>
                </c:pt>
                <c:pt idx="69">
                  <c:v>6.9181612968872752</c:v>
                </c:pt>
                <c:pt idx="70">
                  <c:v>6.9569015677670887</c:v>
                </c:pt>
                <c:pt idx="71">
                  <c:v>6.995751038995901</c:v>
                </c:pt>
                <c:pt idx="72">
                  <c:v>7.0347097316817928</c:v>
                </c:pt>
                <c:pt idx="73">
                  <c:v>7.073777667235623</c:v>
                </c:pt>
                <c:pt idx="74">
                  <c:v>7.11295486737116</c:v>
                </c:pt>
                <c:pt idx="75">
                  <c:v>7.152241354105243</c:v>
                </c:pt>
                <c:pt idx="76">
                  <c:v>7.1916371497579181</c:v>
                </c:pt>
                <c:pt idx="77">
                  <c:v>7.2311422769525864</c:v>
                </c:pt>
                <c:pt idx="78">
                  <c:v>7.270756758616165</c:v>
                </c:pt>
                <c:pt idx="79">
                  <c:v>7.3104806179792288</c:v>
                </c:pt>
                <c:pt idx="80">
                  <c:v>7.3503138785761744</c:v>
                </c:pt>
                <c:pt idx="81">
                  <c:v>7.390256564245373</c:v>
                </c:pt>
                <c:pt idx="82">
                  <c:v>7.4303086991293332</c:v>
                </c:pt>
                <c:pt idx="83">
                  <c:v>7.470470307674856</c:v>
                </c:pt>
                <c:pt idx="84">
                  <c:v>7.510741414633201</c:v>
                </c:pt>
                <c:pt idx="85">
                  <c:v>7.5511220450602661</c:v>
                </c:pt>
                <c:pt idx="86">
                  <c:v>7.5916122243167239</c:v>
                </c:pt>
                <c:pt idx="87">
                  <c:v>7.6322119780682209</c:v>
                </c:pt>
                <c:pt idx="88">
                  <c:v>7.6729213322855401</c:v>
                </c:pt>
                <c:pt idx="89">
                  <c:v>7.7137403132447657</c:v>
                </c:pt>
                <c:pt idx="90">
                  <c:v>7.7546689475274686</c:v>
                </c:pt>
                <c:pt idx="91">
                  <c:v>7.7957072620208869</c:v>
                </c:pt>
                <c:pt idx="92">
                  <c:v>7.8368552839180898</c:v>
                </c:pt>
                <c:pt idx="93">
                  <c:v>7.8781130407181861</c:v>
                </c:pt>
                <c:pt idx="94">
                  <c:v>7.9194805602264804</c:v>
                </c:pt>
                <c:pt idx="95">
                  <c:v>7.9609578705546804</c:v>
                </c:pt>
                <c:pt idx="96">
                  <c:v>8.002545000121069</c:v>
                </c:pt>
                <c:pt idx="97">
                  <c:v>8.0442419776507101</c:v>
                </c:pt>
                <c:pt idx="98">
                  <c:v>8.0860488321756332</c:v>
                </c:pt>
                <c:pt idx="99">
                  <c:v>8.1279655930350216</c:v>
                </c:pt>
                <c:pt idx="100">
                  <c:v>8.1699922898754309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F-4B1E-B765-E43B65049EC4}"/>
            </c:ext>
          </c:extLst>
        </c:ser>
        <c:ser>
          <c:idx val="1"/>
          <c:order val="1"/>
          <c:tx>
            <c:strRef>
              <c:f>'Efficiency vs Load Calculations'!$BF$8</c:f>
              <c:strCache>
                <c:ptCount val="1"/>
                <c:pt idx="0">
                  <c:v>Boost ''SYNC'' MOSFET Temp Rise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xVal>
          <c:yVal>
            <c:numRef>
              <c:f>'Efficiency vs Load Calculations'!$BF$9:$BF$109</c:f>
              <c:numCache>
                <c:formatCode>0.0</c:formatCode>
                <c:ptCount val="101"/>
                <c:pt idx="0">
                  <c:v>0.81674999999999975</c:v>
                </c:pt>
                <c:pt idx="1">
                  <c:v>0.90042996369101291</c:v>
                </c:pt>
                <c:pt idx="2">
                  <c:v>0.98695313451007805</c:v>
                </c:pt>
                <c:pt idx="3">
                  <c:v>1.0763220777761218</c:v>
                </c:pt>
                <c:pt idx="4">
                  <c:v>1.1685395533256315</c:v>
                </c:pt>
                <c:pt idx="5">
                  <c:v>1.2636085158541535</c:v>
                </c:pt>
                <c:pt idx="6">
                  <c:v>1.3615321152911055</c:v>
                </c:pt>
                <c:pt idx="7">
                  <c:v>1.4623136972079949</c:v>
                </c:pt>
                <c:pt idx="8">
                  <c:v>1.5659568032601607</c:v>
                </c:pt>
                <c:pt idx="9">
                  <c:v>1.6724651716621508</c:v>
                </c:pt>
                <c:pt idx="10">
                  <c:v>1.7818427376968731</c:v>
                </c:pt>
                <c:pt idx="11">
                  <c:v>1.894093634258657</c:v>
                </c:pt>
                <c:pt idx="12">
                  <c:v>2.0092221924303817</c:v>
                </c:pt>
                <c:pt idx="13">
                  <c:v>2.1272329420948308</c:v>
                </c:pt>
                <c:pt idx="14">
                  <c:v>2.2481306125804528</c:v>
                </c:pt>
                <c:pt idx="15">
                  <c:v>2.3719201333417108</c:v>
                </c:pt>
                <c:pt idx="16">
                  <c:v>2.4986066346742191</c:v>
                </c:pt>
                <c:pt idx="17">
                  <c:v>2.6281954484648722</c:v>
                </c:pt>
                <c:pt idx="18">
                  <c:v>2.760692108977191</c:v>
                </c:pt>
                <c:pt idx="19">
                  <c:v>2.89610235367212</c:v>
                </c:pt>
                <c:pt idx="20">
                  <c:v>3.0344321240645034</c:v>
                </c:pt>
                <c:pt idx="21">
                  <c:v>3.1756875666155162</c:v>
                </c:pt>
                <c:pt idx="22">
                  <c:v>3.3198750336613014</c:v>
                </c:pt>
                <c:pt idx="23">
                  <c:v>3.467001084378095</c:v>
                </c:pt>
                <c:pt idx="24">
                  <c:v>3.6170724857841412</c:v>
                </c:pt>
                <c:pt idx="25">
                  <c:v>3.7700962137786771</c:v>
                </c:pt>
                <c:pt idx="26">
                  <c:v>3.9260794542183355</c:v>
                </c:pt>
                <c:pt idx="27">
                  <c:v>4.0850296040312566</c:v>
                </c:pt>
                <c:pt idx="28">
                  <c:v>4.246954272369285</c:v>
                </c:pt>
                <c:pt idx="29">
                  <c:v>4.4118612817985854</c:v>
                </c:pt>
                <c:pt idx="30">
                  <c:v>4.5797586695290375</c:v>
                </c:pt>
                <c:pt idx="31">
                  <c:v>4.7506546886828236</c:v>
                </c:pt>
                <c:pt idx="32">
                  <c:v>4.9245578096025602</c:v>
                </c:pt>
                <c:pt idx="33">
                  <c:v>5.1014767211994227</c:v>
                </c:pt>
                <c:pt idx="34">
                  <c:v>5.281420332341642</c:v>
                </c:pt>
                <c:pt idx="35">
                  <c:v>5.4643977732838547</c:v>
                </c:pt>
                <c:pt idx="36">
                  <c:v>5.6504183971377175</c:v>
                </c:pt>
                <c:pt idx="37">
                  <c:v>5.8394917813842726</c:v>
                </c:pt>
                <c:pt idx="38">
                  <c:v>6.0316277294285463</c:v>
                </c:pt>
                <c:pt idx="39">
                  <c:v>6.2268362721968531</c:v>
                </c:pt>
                <c:pt idx="40">
                  <c:v>6.4251276697773392</c:v>
                </c:pt>
                <c:pt idx="41">
                  <c:v>6.6265124131042823</c:v>
                </c:pt>
                <c:pt idx="42">
                  <c:v>6.8310012256866868</c:v>
                </c:pt>
                <c:pt idx="43">
                  <c:v>7.0386050653817325</c:v>
                </c:pt>
                <c:pt idx="44">
                  <c:v>7.2493351262136647</c:v>
                </c:pt>
                <c:pt idx="45">
                  <c:v>7.4632028402386812</c:v>
                </c:pt>
                <c:pt idx="46">
                  <c:v>7.6802198794564775</c:v>
                </c:pt>
                <c:pt idx="47">
                  <c:v>7.9003981577690325</c:v>
                </c:pt>
                <c:pt idx="48">
                  <c:v>8.1237498329872899</c:v>
                </c:pt>
                <c:pt idx="49">
                  <c:v>8.3502873088864114</c:v>
                </c:pt>
                <c:pt idx="50">
                  <c:v>8.5800232373102485</c:v>
                </c:pt>
                <c:pt idx="51">
                  <c:v>8.8129705203257842</c:v>
                </c:pt>
                <c:pt idx="52">
                  <c:v>9.0491423124282218</c:v>
                </c:pt>
                <c:pt idx="53">
                  <c:v>9.288552022797445</c:v>
                </c:pt>
                <c:pt idx="54">
                  <c:v>9.5312133176066638</c:v>
                </c:pt>
                <c:pt idx="55">
                  <c:v>9.7771401223839813</c:v>
                </c:pt>
                <c:pt idx="56">
                  <c:v>10.026346624427694</c:v>
                </c:pt>
                <c:pt idx="57">
                  <c:v>10.278847275276121</c:v>
                </c:pt>
                <c:pt idx="58">
                  <c:v>10.534656793232875</c:v>
                </c:pt>
                <c:pt idx="59">
                  <c:v>10.793790165948343</c:v>
                </c:pt>
                <c:pt idx="60">
                  <c:v>11.056262653058349</c:v>
                </c:pt>
                <c:pt idx="61">
                  <c:v>11.322089788880859</c:v>
                </c:pt>
                <c:pt idx="62">
                  <c:v>11.591287385171675</c:v>
                </c:pt>
                <c:pt idx="63">
                  <c:v>11.863871533940094</c:v>
                </c:pt>
                <c:pt idx="64">
                  <c:v>12.139858610325495</c:v>
                </c:pt>
                <c:pt idx="65">
                  <c:v>12.41926527553586</c:v>
                </c:pt>
                <c:pt idx="66">
                  <c:v>12.702108479849294</c:v>
                </c:pt>
                <c:pt idx="67">
                  <c:v>12.988405465679589</c:v>
                </c:pt>
                <c:pt idx="68">
                  <c:v>13.278173770706891</c:v>
                </c:pt>
                <c:pt idx="69">
                  <c:v>13.571431231074635</c:v>
                </c:pt>
                <c:pt idx="70">
                  <c:v>13.8681959846539</c:v>
                </c:pt>
                <c:pt idx="71">
                  <c:v>14.16848647437628</c:v>
                </c:pt>
                <c:pt idx="72">
                  <c:v>14.472321451636569</c:v>
                </c:pt>
                <c:pt idx="73">
                  <c:v>14.779719979766451</c:v>
                </c:pt>
                <c:pt idx="74">
                  <c:v>15.090701437580478</c:v>
                </c:pt>
                <c:pt idx="75">
                  <c:v>15.405285522995573</c:v>
                </c:pt>
                <c:pt idx="76">
                  <c:v>15.723492256725535</c:v>
                </c:pt>
                <c:pt idx="77">
                  <c:v>16.045341986051731</c:v>
                </c:pt>
                <c:pt idx="78">
                  <c:v>16.370855388671529</c:v>
                </c:pt>
                <c:pt idx="79">
                  <c:v>16.700053476625801</c:v>
                </c:pt>
                <c:pt idx="80">
                  <c:v>17.032957600307075</c:v>
                </c:pt>
                <c:pt idx="81">
                  <c:v>17.369589452549704</c:v>
                </c:pt>
                <c:pt idx="82">
                  <c:v>17.709971072803743</c:v>
                </c:pt>
                <c:pt idx="83">
                  <c:v>18.054124851394061</c:v>
                </c:pt>
                <c:pt idx="84">
                  <c:v>18.402073533866261</c:v>
                </c:pt>
                <c:pt idx="85">
                  <c:v>18.753840225421214</c:v>
                </c:pt>
                <c:pt idx="86">
                  <c:v>19.109448395439795</c:v>
                </c:pt>
                <c:pt idx="87">
                  <c:v>19.468921882099568</c:v>
                </c:pt>
                <c:pt idx="88">
                  <c:v>19.832284897085412</c:v>
                </c:pt>
                <c:pt idx="89">
                  <c:v>20.199562030395647</c:v>
                </c:pt>
                <c:pt idx="90">
                  <c:v>20.570778255245813</c:v>
                </c:pt>
                <c:pt idx="91">
                  <c:v>20.945958933071836</c:v>
                </c:pt>
                <c:pt idx="92">
                  <c:v>21.325129818634771</c:v>
                </c:pt>
                <c:pt idx="93">
                  <c:v>21.708317065229007</c:v>
                </c:pt>
                <c:pt idx="94">
                  <c:v>22.095547229996022</c:v>
                </c:pt>
                <c:pt idx="95">
                  <c:v>22.486847279346055</c:v>
                </c:pt>
                <c:pt idx="96">
                  <c:v>22.882244594489563</c:v>
                </c:pt>
                <c:pt idx="97">
                  <c:v>23.281766977081062</c:v>
                </c:pt>
                <c:pt idx="98">
                  <c:v>23.685442654977354</c:v>
                </c:pt>
                <c:pt idx="99">
                  <c:v>24.093300288112836</c:v>
                </c:pt>
                <c:pt idx="100">
                  <c:v>24.505368974494012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F-4B1E-B765-E43B65049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35360"/>
        <c:axId val="158337280"/>
      </c:scatterChart>
      <c:valAx>
        <c:axId val="15833536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052333022741466"/>
              <c:y val="0.937985266634570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337280"/>
        <c:crosses val="autoZero"/>
        <c:crossBetween val="midCat"/>
      </c:valAx>
      <c:valAx>
        <c:axId val="158337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Temperature (</a:t>
                </a:r>
                <a:r>
                  <a:rPr lang="en-US" sz="1100">
                    <a:sym typeface="Symbol"/>
                  </a:rPr>
                  <a:t></a:t>
                </a:r>
                <a:r>
                  <a:rPr lang="en-US" sz="1100"/>
                  <a:t>C)</a:t>
                </a:r>
              </a:p>
            </c:rich>
          </c:tx>
          <c:layout>
            <c:manualLayout>
              <c:xMode val="edge"/>
              <c:yMode val="edge"/>
              <c:x val="1.3813487878384515E-2"/>
              <c:y val="0.40384993295956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335360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60965366061085946"/>
          <c:y val="2.0620499360656842E-2"/>
          <c:w val="0.351320840481532"/>
          <c:h val="9.86075261302396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MOSFET &amp;</a:t>
            </a:r>
            <a:r>
              <a:rPr lang="en-US" sz="1200" baseline="0"/>
              <a:t> Inductor</a:t>
            </a:r>
            <a:r>
              <a:rPr lang="en-US" sz="1200"/>
              <a:t> Power Dissipation</a:t>
            </a:r>
          </a:p>
        </c:rich>
      </c:tx>
      <c:layout>
        <c:manualLayout>
          <c:xMode val="edge"/>
          <c:yMode val="edge"/>
          <c:x val="0.13740051025090394"/>
          <c:y val="4.90591397849462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0636942675162"/>
          <c:y val="0.15927440521547717"/>
          <c:w val="0.8471337579617837"/>
          <c:h val="0.70362972493790654"/>
        </c:manualLayout>
      </c:layout>
      <c:scatterChart>
        <c:scatterStyle val="lineMarker"/>
        <c:varyColors val="0"/>
        <c:ser>
          <c:idx val="2"/>
          <c:order val="0"/>
          <c:tx>
            <c:strRef>
              <c:f>'Efficiency vs Load Calculations'!$BK$8</c:f>
              <c:strCache>
                <c:ptCount val="1"/>
                <c:pt idx="0">
                  <c:v>Boost ''Control'' MOSFET Loss</c:v>
                </c:pt>
              </c:strCache>
            </c:strRef>
          </c:tx>
          <c:spPr>
            <a:ln w="2540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xVal>
          <c:yVal>
            <c:numRef>
              <c:f>'Efficiency vs Load Calculations'!$BK$9:$BK$109</c:f>
              <c:numCache>
                <c:formatCode>0.000</c:formatCode>
                <c:ptCount val="101"/>
                <c:pt idx="0">
                  <c:v>9.0158094717986803E-2</c:v>
                </c:pt>
                <c:pt idx="1">
                  <c:v>9.0782879406492489E-2</c:v>
                </c:pt>
                <c:pt idx="2">
                  <c:v>9.1409833474987101E-2</c:v>
                </c:pt>
                <c:pt idx="3">
                  <c:v>9.2038956932403548E-2</c:v>
                </c:pt>
                <c:pt idx="4">
                  <c:v>9.2670249793629964E-2</c:v>
                </c:pt>
                <c:pt idx="5">
                  <c:v>9.3303712079509937E-2</c:v>
                </c:pt>
                <c:pt idx="6">
                  <c:v>9.3939343816842602E-2</c:v>
                </c:pt>
                <c:pt idx="7">
                  <c:v>9.4577145038382743E-2</c:v>
                </c:pt>
                <c:pt idx="8">
                  <c:v>9.5217115782841213E-2</c:v>
                </c:pt>
                <c:pt idx="9">
                  <c:v>9.5859256094884937E-2</c:v>
                </c:pt>
                <c:pt idx="10">
                  <c:v>9.6503566025137391E-2</c:v>
                </c:pt>
                <c:pt idx="11">
                  <c:v>9.7150045630178886E-2</c:v>
                </c:pt>
                <c:pt idx="12">
                  <c:v>9.7798694972546923E-2</c:v>
                </c:pt>
                <c:pt idx="13">
                  <c:v>9.8449514120736631E-2</c:v>
                </c:pt>
                <c:pt idx="14">
                  <c:v>9.9102503149201215E-2</c:v>
                </c:pt>
                <c:pt idx="15">
                  <c:v>9.9757662138352438E-2</c:v>
                </c:pt>
                <c:pt idx="16">
                  <c:v>0.10041499117456122</c:v>
                </c:pt>
                <c:pt idx="17">
                  <c:v>0.10107449035015811</c:v>
                </c:pt>
                <c:pt idx="18">
                  <c:v>0.10173615976343395</c:v>
                </c:pt>
                <c:pt idx="19">
                  <c:v>0.10239999951864054</c:v>
                </c:pt>
                <c:pt idx="20">
                  <c:v>0.10306600972599134</c:v>
                </c:pt>
                <c:pt idx="21">
                  <c:v>0.10373419050166219</c:v>
                </c:pt>
                <c:pt idx="22">
                  <c:v>0.10440454196779203</c:v>
                </c:pt>
                <c:pt idx="23">
                  <c:v>0.10507706425248377</c:v>
                </c:pt>
                <c:pt idx="24">
                  <c:v>0.10575175748980514</c:v>
                </c:pt>
                <c:pt idx="25">
                  <c:v>0.10642862181978963</c:v>
                </c:pt>
                <c:pt idx="26">
                  <c:v>0.10710765738843722</c:v>
                </c:pt>
                <c:pt idx="27">
                  <c:v>0.10778886434771562</c:v>
                </c:pt>
                <c:pt idx="28">
                  <c:v>0.10847224285556109</c:v>
                </c:pt>
                <c:pt idx="29">
                  <c:v>0.10915779307587958</c:v>
                </c:pt>
                <c:pt idx="30">
                  <c:v>0.10984551517854776</c:v>
                </c:pt>
                <c:pt idx="31">
                  <c:v>0.11053540933941423</c:v>
                </c:pt>
                <c:pt idx="32">
                  <c:v>0.11122747574030059</c:v>
                </c:pt>
                <c:pt idx="33">
                  <c:v>0.11192171456900274</c:v>
                </c:pt>
                <c:pt idx="34">
                  <c:v>0.11261812601929208</c:v>
                </c:pt>
                <c:pt idx="35">
                  <c:v>0.11331671029091681</c:v>
                </c:pt>
                <c:pt idx="36">
                  <c:v>0.11401746758960321</c:v>
                </c:pt>
                <c:pt idx="37">
                  <c:v>0.11472039812705713</c:v>
                </c:pt>
                <c:pt idx="38">
                  <c:v>0.11542550212096531</c:v>
                </c:pt>
                <c:pt idx="39">
                  <c:v>0.1161327797949968</c:v>
                </c:pt>
                <c:pt idx="40">
                  <c:v>0.11684223137880453</c:v>
                </c:pt>
                <c:pt idx="41">
                  <c:v>0.11755385710802679</c:v>
                </c:pt>
                <c:pt idx="42">
                  <c:v>0.11826765722428881</c:v>
                </c:pt>
                <c:pt idx="43">
                  <c:v>0.11898363197520434</c:v>
                </c:pt>
                <c:pt idx="44">
                  <c:v>0.11970178161437738</c:v>
                </c:pt>
                <c:pt idx="45">
                  <c:v>0.12042210640140374</c:v>
                </c:pt>
                <c:pt idx="46">
                  <c:v>0.12114460660187293</c:v>
                </c:pt>
                <c:pt idx="47">
                  <c:v>0.12186928248736976</c:v>
                </c:pt>
                <c:pt idx="48">
                  <c:v>0.12259613433547627</c:v>
                </c:pt>
                <c:pt idx="49">
                  <c:v>0.1233251624297735</c:v>
                </c:pt>
                <c:pt idx="50">
                  <c:v>0.12405636705984344</c:v>
                </c:pt>
                <c:pt idx="51">
                  <c:v>0.12478974852127096</c:v>
                </c:pt>
                <c:pt idx="52">
                  <c:v>0.12552530711564569</c:v>
                </c:pt>
                <c:pt idx="53">
                  <c:v>0.12626304315056411</c:v>
                </c:pt>
                <c:pt idx="54">
                  <c:v>0.12700295693963159</c:v>
                </c:pt>
                <c:pt idx="55">
                  <c:v>0.12774504880246451</c:v>
                </c:pt>
                <c:pt idx="56">
                  <c:v>0.12848931906469227</c:v>
                </c:pt>
                <c:pt idx="57">
                  <c:v>0.12923576805795958</c:v>
                </c:pt>
                <c:pt idx="58">
                  <c:v>0.12998439611992862</c:v>
                </c:pt>
                <c:pt idx="59">
                  <c:v>0.13073520359428137</c:v>
                </c:pt>
                <c:pt idx="60">
                  <c:v>0.13148819083072166</c:v>
                </c:pt>
                <c:pt idx="61">
                  <c:v>0.13224335818497784</c:v>
                </c:pt>
                <c:pt idx="62">
                  <c:v>0.1330007060188049</c:v>
                </c:pt>
                <c:pt idx="63">
                  <c:v>0.13376023469998699</c:v>
                </c:pt>
                <c:pt idx="64">
                  <c:v>0.1345219446023399</c:v>
                </c:pt>
                <c:pt idx="65">
                  <c:v>0.13528583610571338</c:v>
                </c:pt>
                <c:pt idx="66">
                  <c:v>0.13605190959599386</c:v>
                </c:pt>
                <c:pt idx="67">
                  <c:v>0.136820165465107</c:v>
                </c:pt>
                <c:pt idx="68">
                  <c:v>0.13759060411102025</c:v>
                </c:pt>
                <c:pt idx="69">
                  <c:v>0.1383632259377455</c:v>
                </c:pt>
                <c:pt idx="70">
                  <c:v>0.13913803135534178</c:v>
                </c:pt>
                <c:pt idx="71">
                  <c:v>0.13991502077991802</c:v>
                </c:pt>
                <c:pt idx="72">
                  <c:v>0.14069419463363586</c:v>
                </c:pt>
                <c:pt idx="73">
                  <c:v>0.14147555334471246</c:v>
                </c:pt>
                <c:pt idx="74">
                  <c:v>0.1422590973474232</c:v>
                </c:pt>
                <c:pt idx="75">
                  <c:v>0.14304482708210486</c:v>
                </c:pt>
                <c:pt idx="76">
                  <c:v>0.14383274299515836</c:v>
                </c:pt>
                <c:pt idx="77">
                  <c:v>0.14462284553905172</c:v>
                </c:pt>
                <c:pt idx="78">
                  <c:v>0.1454151351723233</c:v>
                </c:pt>
                <c:pt idx="79">
                  <c:v>0.14620961235958457</c:v>
                </c:pt>
                <c:pt idx="80">
                  <c:v>0.14700627757152349</c:v>
                </c:pt>
                <c:pt idx="81">
                  <c:v>0.14780513128490746</c:v>
                </c:pt>
                <c:pt idx="82">
                  <c:v>0.14860617398258666</c:v>
                </c:pt>
                <c:pt idx="83">
                  <c:v>0.14940940615349713</c:v>
                </c:pt>
                <c:pt idx="84">
                  <c:v>0.15021482829266403</c:v>
                </c:pt>
                <c:pt idx="85">
                  <c:v>0.15102244090120531</c:v>
                </c:pt>
                <c:pt idx="86">
                  <c:v>0.15183224448633448</c:v>
                </c:pt>
                <c:pt idx="87">
                  <c:v>0.15264423956136441</c:v>
                </c:pt>
                <c:pt idx="88">
                  <c:v>0.1534584266457108</c:v>
                </c:pt>
                <c:pt idx="89">
                  <c:v>0.15427480626489531</c:v>
                </c:pt>
                <c:pt idx="90">
                  <c:v>0.15509337895054937</c:v>
                </c:pt>
                <c:pt idx="91">
                  <c:v>0.15591414524041775</c:v>
                </c:pt>
                <c:pt idx="92">
                  <c:v>0.1567371056783618</c:v>
                </c:pt>
                <c:pt idx="93">
                  <c:v>0.15756226081436372</c:v>
                </c:pt>
                <c:pt idx="94">
                  <c:v>0.1583896112045296</c:v>
                </c:pt>
                <c:pt idx="95">
                  <c:v>0.1592191574110936</c:v>
                </c:pt>
                <c:pt idx="96">
                  <c:v>0.16005090000242136</c:v>
                </c:pt>
                <c:pt idx="97">
                  <c:v>0.16088483955301419</c:v>
                </c:pt>
                <c:pt idx="98">
                  <c:v>0.16172097664351265</c:v>
                </c:pt>
                <c:pt idx="99">
                  <c:v>0.16255931186070044</c:v>
                </c:pt>
                <c:pt idx="100">
                  <c:v>0.1633998457975086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8-42F2-9E8C-4AC28D4F752D}"/>
            </c:ext>
          </c:extLst>
        </c:ser>
        <c:ser>
          <c:idx val="3"/>
          <c:order val="1"/>
          <c:tx>
            <c:strRef>
              <c:f>'Efficiency vs Load Calculations'!$BL$8</c:f>
              <c:strCache>
                <c:ptCount val="1"/>
                <c:pt idx="0">
                  <c:v>Boost ''SYNC'' MOSFET Loss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xVal>
          <c:yVal>
            <c:numRef>
              <c:f>'Efficiency vs Load Calculations'!$BL$9:$BL$109</c:f>
              <c:numCache>
                <c:formatCode>0.000</c:formatCode>
                <c:ptCount val="101"/>
                <c:pt idx="0">
                  <c:v>1.6334999999999995E-2</c:v>
                </c:pt>
                <c:pt idx="1">
                  <c:v>1.8008599273820258E-2</c:v>
                </c:pt>
                <c:pt idx="2">
                  <c:v>1.9739062690201561E-2</c:v>
                </c:pt>
                <c:pt idx="3">
                  <c:v>2.1526441555522437E-2</c:v>
                </c:pt>
                <c:pt idx="4">
                  <c:v>2.3370791066512631E-2</c:v>
                </c:pt>
                <c:pt idx="5">
                  <c:v>2.5272170317083068E-2</c:v>
                </c:pt>
                <c:pt idx="6">
                  <c:v>2.723064230582211E-2</c:v>
                </c:pt>
                <c:pt idx="7">
                  <c:v>2.9246273944159899E-2</c:v>
                </c:pt>
                <c:pt idx="8">
                  <c:v>3.1319136065203215E-2</c:v>
                </c:pt>
                <c:pt idx="9">
                  <c:v>3.3449303433243018E-2</c:v>
                </c:pt>
                <c:pt idx="10">
                  <c:v>3.5636854753937464E-2</c:v>
                </c:pt>
                <c:pt idx="11">
                  <c:v>3.7881872685173137E-2</c:v>
                </c:pt>
                <c:pt idx="12">
                  <c:v>4.0184443848607636E-2</c:v>
                </c:pt>
                <c:pt idx="13">
                  <c:v>4.2544658841896614E-2</c:v>
                </c:pt>
                <c:pt idx="14">
                  <c:v>4.4962612251609052E-2</c:v>
                </c:pt>
                <c:pt idx="15">
                  <c:v>4.7438402666834217E-2</c:v>
                </c:pt>
                <c:pt idx="16">
                  <c:v>4.9972132693484383E-2</c:v>
                </c:pt>
                <c:pt idx="17">
                  <c:v>5.256390896929744E-2</c:v>
                </c:pt>
                <c:pt idx="18">
                  <c:v>5.5213842179543823E-2</c:v>
                </c:pt>
                <c:pt idx="19">
                  <c:v>5.7922047073442395E-2</c:v>
                </c:pt>
                <c:pt idx="20">
                  <c:v>6.0688642481290064E-2</c:v>
                </c:pt>
                <c:pt idx="21">
                  <c:v>6.3513751332310325E-2</c:v>
                </c:pt>
                <c:pt idx="22">
                  <c:v>6.6397500673226029E-2</c:v>
                </c:pt>
                <c:pt idx="23">
                  <c:v>6.9340021687561898E-2</c:v>
                </c:pt>
                <c:pt idx="24">
                  <c:v>7.2341449715682821E-2</c:v>
                </c:pt>
                <c:pt idx="25">
                  <c:v>7.5401924275573545E-2</c:v>
                </c:pt>
                <c:pt idx="26">
                  <c:v>7.8521589084366711E-2</c:v>
                </c:pt>
                <c:pt idx="27">
                  <c:v>8.1700592080625134E-2</c:v>
                </c:pt>
                <c:pt idx="28">
                  <c:v>8.4939085447385709E-2</c:v>
                </c:pt>
                <c:pt idx="29">
                  <c:v>8.8237225635971708E-2</c:v>
                </c:pt>
                <c:pt idx="30">
                  <c:v>9.159517339058075E-2</c:v>
                </c:pt>
                <c:pt idx="31">
                  <c:v>9.5013093773656465E-2</c:v>
                </c:pt>
                <c:pt idx="32">
                  <c:v>9.8491156192051205E-2</c:v>
                </c:pt>
                <c:pt idx="33">
                  <c:v>0.10202953442398846</c:v>
                </c:pt>
                <c:pt idx="34">
                  <c:v>0.10562840664683285</c:v>
                </c:pt>
                <c:pt idx="35">
                  <c:v>0.1092879554656771</c:v>
                </c:pt>
                <c:pt idx="36">
                  <c:v>0.11300836794275435</c:v>
                </c:pt>
                <c:pt idx="37">
                  <c:v>0.11678983562768545</c:v>
                </c:pt>
                <c:pt idx="38">
                  <c:v>0.12063255458857092</c:v>
                </c:pt>
                <c:pt idx="39">
                  <c:v>0.12453672544393707</c:v>
                </c:pt>
                <c:pt idx="40">
                  <c:v>0.12850255339554678</c:v>
                </c:pt>
                <c:pt idx="41">
                  <c:v>0.13253024826208565</c:v>
                </c:pt>
                <c:pt idx="42">
                  <c:v>0.13662002451373373</c:v>
                </c:pt>
                <c:pt idx="43">
                  <c:v>0.14077210130763465</c:v>
                </c:pt>
                <c:pt idx="44">
                  <c:v>0.14498670252427329</c:v>
                </c:pt>
                <c:pt idx="45">
                  <c:v>0.14926405680477361</c:v>
                </c:pt>
                <c:pt idx="46">
                  <c:v>0.15360439758912955</c:v>
                </c:pt>
                <c:pt idx="47">
                  <c:v>0.15800796315538065</c:v>
                </c:pt>
                <c:pt idx="48">
                  <c:v>0.1624749966597458</c:v>
                </c:pt>
                <c:pt idx="49">
                  <c:v>0.16700574617772823</c:v>
                </c:pt>
                <c:pt idx="50">
                  <c:v>0.17160046474620497</c:v>
                </c:pt>
                <c:pt idx="51">
                  <c:v>0.17625941040651569</c:v>
                </c:pt>
                <c:pt idx="52">
                  <c:v>0.18098284624856442</c:v>
                </c:pt>
                <c:pt idx="53">
                  <c:v>0.18577104045594889</c:v>
                </c:pt>
                <c:pt idx="54">
                  <c:v>0.19062426635213328</c:v>
                </c:pt>
                <c:pt idx="55">
                  <c:v>0.19554280244767963</c:v>
                </c:pt>
                <c:pt idx="56">
                  <c:v>0.20052693248855388</c:v>
                </c:pt>
                <c:pt idx="57">
                  <c:v>0.20557694550552241</c:v>
                </c:pt>
                <c:pt idx="58">
                  <c:v>0.21069313586465749</c:v>
                </c:pt>
                <c:pt idx="59">
                  <c:v>0.21587580331896686</c:v>
                </c:pt>
                <c:pt idx="60">
                  <c:v>0.22112525306116698</c:v>
                </c:pt>
                <c:pt idx="61">
                  <c:v>0.22644179577761719</c:v>
                </c:pt>
                <c:pt idx="62">
                  <c:v>0.2318257477034335</c:v>
                </c:pt>
                <c:pt idx="63">
                  <c:v>0.23727743067880189</c:v>
                </c:pt>
                <c:pt idx="64">
                  <c:v>0.2427971722065099</c:v>
                </c:pt>
                <c:pt idx="65">
                  <c:v>0.24838530551071719</c:v>
                </c:pt>
                <c:pt idx="66">
                  <c:v>0.25404216959698589</c:v>
                </c:pt>
                <c:pt idx="67">
                  <c:v>0.25976810931359179</c:v>
                </c:pt>
                <c:pt idx="68">
                  <c:v>0.26556347541413783</c:v>
                </c:pt>
                <c:pt idx="69">
                  <c:v>0.2714286246214927</c:v>
                </c:pt>
                <c:pt idx="70">
                  <c:v>0.277363919693078</c:v>
                </c:pt>
                <c:pt idx="71">
                  <c:v>0.28336972948752559</c:v>
                </c:pt>
                <c:pt idx="72">
                  <c:v>0.28944642903273138</c:v>
                </c:pt>
                <c:pt idx="73">
                  <c:v>0.29559439959532902</c:v>
                </c:pt>
                <c:pt idx="74">
                  <c:v>0.30181402875160956</c:v>
                </c:pt>
                <c:pt idx="75">
                  <c:v>0.30810571045991147</c:v>
                </c:pt>
                <c:pt idx="76">
                  <c:v>0.31446984513451071</c:v>
                </c:pt>
                <c:pt idx="77">
                  <c:v>0.32090683972103462</c:v>
                </c:pt>
                <c:pt idx="78">
                  <c:v>0.32741710777343058</c:v>
                </c:pt>
                <c:pt idx="79">
                  <c:v>0.33400106953251602</c:v>
                </c:pt>
                <c:pt idx="80">
                  <c:v>0.3406591520061415</c:v>
                </c:pt>
                <c:pt idx="81">
                  <c:v>0.3473917890509941</c:v>
                </c:pt>
                <c:pt idx="82">
                  <c:v>0.35419942145607486</c:v>
                </c:pt>
                <c:pt idx="83">
                  <c:v>0.3610824970278812</c:v>
                </c:pt>
                <c:pt idx="84">
                  <c:v>0.36804147067732523</c:v>
                </c:pt>
                <c:pt idx="85">
                  <c:v>0.37507680450842429</c:v>
                </c:pt>
                <c:pt idx="86">
                  <c:v>0.38218896790879592</c:v>
                </c:pt>
                <c:pt idx="87">
                  <c:v>0.38937843764199137</c:v>
                </c:pt>
                <c:pt idx="88">
                  <c:v>0.39664569794170823</c:v>
                </c:pt>
                <c:pt idx="89">
                  <c:v>0.40399124060791297</c:v>
                </c:pt>
                <c:pt idx="90">
                  <c:v>0.41141556510491623</c:v>
                </c:pt>
                <c:pt idx="91">
                  <c:v>0.41891917866143669</c:v>
                </c:pt>
                <c:pt idx="92">
                  <c:v>0.42650259637269544</c:v>
                </c:pt>
                <c:pt idx="93">
                  <c:v>0.43416634130458015</c:v>
                </c:pt>
                <c:pt idx="94">
                  <c:v>0.44191094459992047</c:v>
                </c:pt>
                <c:pt idx="95">
                  <c:v>0.44973694558692112</c:v>
                </c:pt>
                <c:pt idx="96">
                  <c:v>0.45764489188979129</c:v>
                </c:pt>
                <c:pt idx="97">
                  <c:v>0.46563533954162123</c:v>
                </c:pt>
                <c:pt idx="98">
                  <c:v>0.47370885309954708</c:v>
                </c:pt>
                <c:pt idx="99">
                  <c:v>0.48186600576225669</c:v>
                </c:pt>
                <c:pt idx="100">
                  <c:v>0.4901073794898802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A8-42F2-9E8C-4AC28D4F752D}"/>
            </c:ext>
          </c:extLst>
        </c:ser>
        <c:ser>
          <c:idx val="0"/>
          <c:order val="2"/>
          <c:tx>
            <c:v>Inductor Loss</c:v>
          </c:tx>
          <c:spPr>
            <a:ln w="3175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xVal>
          <c:yVal>
            <c:numRef>
              <c:f>'Efficiency vs Load Calculations'!$T$9:$T$109</c:f>
              <c:numCache>
                <c:formatCode>0.000</c:formatCode>
                <c:ptCount val="101"/>
                <c:pt idx="0">
                  <c:v>0</c:v>
                </c:pt>
                <c:pt idx="1">
                  <c:v>5.2072404474627997E-5</c:v>
                </c:pt>
                <c:pt idx="2">
                  <c:v>2.0829222100493945E-4</c:v>
                </c:pt>
                <c:pt idx="3">
                  <c:v>4.6866725923554761E-4</c:v>
                </c:pt>
                <c:pt idx="4">
                  <c:v>8.3321053632532001E-4</c:v>
                </c:pt>
                <c:pt idx="5">
                  <c:v>1.3019402785744126E-3</c:v>
                </c:pt>
                <c:pt idx="6">
                  <c:v>1.8748799237026472E-3</c:v>
                </c:pt>
                <c:pt idx="7">
                  <c:v>2.5520581237797706E-3</c:v>
                </c:pt>
                <c:pt idx="8">
                  <c:v>3.3335087488082652E-3</c:v>
                </c:pt>
                <c:pt idx="9">
                  <c:v>4.2192708909595707E-3</c:v>
                </c:pt>
                <c:pt idx="10">
                  <c:v>5.2093888694646692E-3</c:v>
                </c:pt>
                <c:pt idx="11">
                  <c:v>6.3039122361602338E-3</c:v>
                </c:pt>
                <c:pt idx="12">
                  <c:v>7.5028957816915629E-3</c:v>
                </c:pt>
                <c:pt idx="13">
                  <c:v>8.8063995423738276E-3</c:v>
                </c:pt>
                <c:pt idx="14">
                  <c:v>1.0214488807713158E-2</c:v>
                </c:pt>
                <c:pt idx="15">
                  <c:v>1.1727234128589415E-2</c:v>
                </c:pt>
                <c:pt idx="16">
                  <c:v>1.3344711326102474E-2</c:v>
                </c:pt>
                <c:pt idx="17">
                  <c:v>1.5067001501084183E-2</c:v>
                </c:pt>
                <c:pt idx="18">
                  <c:v>1.6894191044278146E-2</c:v>
                </c:pt>
                <c:pt idx="19">
                  <c:v>1.882637164718973E-2</c:v>
                </c:pt>
                <c:pt idx="20">
                  <c:v>2.0863640313608971E-2</c:v>
                </c:pt>
                <c:pt idx="21">
                  <c:v>2.3006099371808857E-2</c:v>
                </c:pt>
                <c:pt idx="22">
                  <c:v>2.5253856487422049E-2</c:v>
                </c:pt>
                <c:pt idx="23">
                  <c:v>2.7607024676998999E-2</c:v>
                </c:pt>
                <c:pt idx="24">
                  <c:v>3.0065722322250684E-2</c:v>
                </c:pt>
                <c:pt idx="25">
                  <c:v>3.2630073184979243E-2</c:v>
                </c:pt>
                <c:pt idx="26">
                  <c:v>3.5300206422700091E-2</c:v>
                </c:pt>
                <c:pt idx="27">
                  <c:v>3.8076256604959342E-2</c:v>
                </c:pt>
                <c:pt idx="28">
                  <c:v>4.0958363730350049E-2</c:v>
                </c:pt>
                <c:pt idx="29">
                  <c:v>4.3946673244231738E-2</c:v>
                </c:pt>
                <c:pt idx="30">
                  <c:v>4.7041336057157004E-2</c:v>
                </c:pt>
                <c:pt idx="31">
                  <c:v>5.0242508564009872E-2</c:v>
                </c:pt>
                <c:pt idx="32">
                  <c:v>5.3550352663860344E-2</c:v>
                </c:pt>
                <c:pt idx="33">
                  <c:v>5.6965035780539852E-2</c:v>
                </c:pt>
                <c:pt idx="34">
                  <c:v>6.0486730883942498E-2</c:v>
                </c:pt>
                <c:pt idx="35">
                  <c:v>6.41156165120573E-2</c:v>
                </c:pt>
                <c:pt idx="36">
                  <c:v>6.7851876793736471E-2</c:v>
                </c:pt>
                <c:pt idx="37">
                  <c:v>7.1695701472205525E-2</c:v>
                </c:pt>
                <c:pt idx="38">
                  <c:v>7.5647285929320504E-2</c:v>
                </c:pt>
                <c:pt idx="39">
                  <c:v>7.9706831210578463E-2</c:v>
                </c:pt>
                <c:pt idx="40">
                  <c:v>8.3874544050886846E-2</c:v>
                </c:pt>
                <c:pt idx="41">
                  <c:v>8.8150636901098395E-2</c:v>
                </c:pt>
                <c:pt idx="42">
                  <c:v>9.2535327955317728E-2</c:v>
                </c:pt>
                <c:pt idx="43">
                  <c:v>9.7028841178986358E-2</c:v>
                </c:pt>
                <c:pt idx="44">
                  <c:v>0.10163140633775263</c:v>
                </c:pt>
                <c:pt idx="45">
                  <c:v>0.10634325902713412</c:v>
                </c:pt>
                <c:pt idx="46">
                  <c:v>0.11116464070297924</c:v>
                </c:pt>
                <c:pt idx="47">
                  <c:v>0.11609579871273573</c:v>
                </c:pt>
                <c:pt idx="48">
                  <c:v>0.12113698632753343</c:v>
                </c:pt>
                <c:pt idx="49">
                  <c:v>0.12628846277508968</c:v>
                </c:pt>
                <c:pt idx="50">
                  <c:v>0.13155049327344479</c:v>
                </c:pt>
                <c:pt idx="51">
                  <c:v>0.13692334906553622</c:v>
                </c:pt>
                <c:pt idx="52">
                  <c:v>0.1424073074546201</c:v>
                </c:pt>
                <c:pt idx="53">
                  <c:v>0.14800265184054878</c:v>
                </c:pt>
                <c:pt idx="54">
                  <c:v>0.15370967175691264</c:v>
                </c:pt>
                <c:pt idx="55">
                  <c:v>0.15952866290905676</c:v>
                </c:pt>
                <c:pt idx="56">
                  <c:v>0.16545992721298095</c:v>
                </c:pt>
                <c:pt idx="57">
                  <c:v>0.1715037728351328</c:v>
                </c:pt>
                <c:pt idx="58">
                  <c:v>0.177660514233104</c:v>
                </c:pt>
                <c:pt idx="59">
                  <c:v>0.18393047219724046</c:v>
                </c:pt>
                <c:pt idx="60">
                  <c:v>0.19031397389317567</c:v>
                </c:pt>
                <c:pt idx="61">
                  <c:v>0.196811352905299</c:v>
                </c:pt>
                <c:pt idx="62">
                  <c:v>0.20342294928116955</c:v>
                </c:pt>
                <c:pt idx="63">
                  <c:v>0.21014910957688637</c:v>
                </c:pt>
                <c:pt idx="64">
                  <c:v>0.2169901869034275</c:v>
                </c:pt>
                <c:pt idx="65">
                  <c:v>0.22394654097396843</c:v>
                </c:pt>
                <c:pt idx="66">
                  <c:v>0.23101853815219328</c:v>
                </c:pt>
                <c:pt idx="67">
                  <c:v>0.23820655150161002</c:v>
                </c:pt>
                <c:pt idx="68">
                  <c:v>0.2455109608358832</c:v>
                </c:pt>
                <c:pt idx="69">
                  <c:v>0.25293215277019632</c:v>
                </c:pt>
                <c:pt idx="70">
                  <c:v>0.2604705207736579</c:v>
                </c:pt>
                <c:pt idx="71">
                  <c:v>0.26812646522276434</c:v>
                </c:pt>
                <c:pt idx="72">
                  <c:v>0.27590039345593359</c:v>
                </c:pt>
                <c:pt idx="73">
                  <c:v>0.28379271982912319</c:v>
                </c:pt>
                <c:pt idx="74">
                  <c:v>0.29180386577254952</c:v>
                </c:pt>
                <c:pt idx="75">
                  <c:v>0.29993425984851851</c:v>
                </c:pt>
                <c:pt idx="76">
                  <c:v>0.3081843378103894</c:v>
                </c:pt>
                <c:pt idx="77">
                  <c:v>0.3165545426626804</c:v>
                </c:pt>
                <c:pt idx="78">
                  <c:v>0.32504532472233733</c:v>
                </c:pt>
                <c:pt idx="79">
                  <c:v>0.33365714168117866</c:v>
                </c:pt>
                <c:pt idx="80">
                  <c:v>0.34239045866953488</c:v>
                </c:pt>
                <c:pt idx="81">
                  <c:v>0.35124574832109806</c:v>
                </c:pt>
                <c:pt idx="82">
                  <c:v>0.36022349083900035</c:v>
                </c:pt>
                <c:pt idx="83">
                  <c:v>0.36932417406313778</c:v>
                </c:pt>
                <c:pt idx="84">
                  <c:v>0.37854829353875935</c:v>
                </c:pt>
                <c:pt idx="85">
                  <c:v>0.38789635258633676</c:v>
                </c:pt>
                <c:pt idx="86">
                  <c:v>0.39736886237273877</c:v>
                </c:pt>
                <c:pt idx="87">
                  <c:v>0.40696634198372339</c:v>
                </c:pt>
                <c:pt idx="88">
                  <c:v>0.41668931849777413</c:v>
                </c:pt>
                <c:pt idx="89">
                  <c:v>0.42653832706129496</c:v>
                </c:pt>
                <c:pt idx="90">
                  <c:v>0.43651391096518893</c:v>
                </c:pt>
                <c:pt idx="91">
                  <c:v>0.44661662172283884</c:v>
                </c:pt>
                <c:pt idx="92">
                  <c:v>0.45684701914951276</c:v>
                </c:pt>
                <c:pt idx="93">
                  <c:v>0.4672056714432184</c:v>
                </c:pt>
                <c:pt idx="94">
                  <c:v>0.47769315526702255</c:v>
                </c:pt>
                <c:pt idx="95">
                  <c:v>0.48831005583286891</c:v>
                </c:pt>
                <c:pt idx="96">
                  <c:v>0.49905696698690649</c:v>
                </c:pt>
                <c:pt idx="97">
                  <c:v>0.50993449129636381</c:v>
                </c:pt>
                <c:pt idx="98">
                  <c:v>0.52094324013798277</c:v>
                </c:pt>
                <c:pt idx="99">
                  <c:v>0.53208383378804791</c:v>
                </c:pt>
                <c:pt idx="100">
                  <c:v>0.54335690151402738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8-42F2-9E8C-4AC28D4F7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2224"/>
        <c:axId val="158374144"/>
      </c:scatterChart>
      <c:valAx>
        <c:axId val="15837222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898089171975511"/>
              <c:y val="0.92540407247481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374144"/>
        <c:crosses val="autoZero"/>
        <c:crossBetween val="midCat"/>
      </c:valAx>
      <c:valAx>
        <c:axId val="158374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Power Disipation (W)</a:t>
                </a:r>
              </a:p>
            </c:rich>
          </c:tx>
          <c:layout>
            <c:manualLayout>
              <c:xMode val="edge"/>
              <c:yMode val="edge"/>
              <c:x val="1.9108297737292643E-2"/>
              <c:y val="0.346102573871814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372224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383745388469802"/>
          <c:y val="1.0080645161290322E-2"/>
          <c:w val="0.35068494759833341"/>
          <c:h val="0.12903246973160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/>
              <a:t> Overall Efficiency</a:t>
            </a:r>
          </a:p>
        </c:rich>
      </c:tx>
      <c:layout>
        <c:manualLayout>
          <c:xMode val="edge"/>
          <c:yMode val="edge"/>
          <c:x val="0.41192468827576156"/>
          <c:y val="3.02419354838718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4102129638858"/>
          <c:y val="0.15927435034411094"/>
          <c:w val="0.85384629851107507"/>
          <c:h val="0.72983942815910108"/>
        </c:manualLayout>
      </c:layout>
      <c:scatterChart>
        <c:scatterStyle val="lineMarker"/>
        <c:varyColors val="0"/>
        <c:ser>
          <c:idx val="0"/>
          <c:order val="0"/>
          <c:tx>
            <c:v>Efficiency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</c:v>
                </c:pt>
                <c:pt idx="11">
                  <c:v>1.32</c:v>
                </c:pt>
                <c:pt idx="12">
                  <c:v>1.44</c:v>
                </c:pt>
                <c:pt idx="13">
                  <c:v>1.56</c:v>
                </c:pt>
                <c:pt idx="14">
                  <c:v>1.68</c:v>
                </c:pt>
                <c:pt idx="15">
                  <c:v>1.8</c:v>
                </c:pt>
                <c:pt idx="16">
                  <c:v>1.92</c:v>
                </c:pt>
                <c:pt idx="17">
                  <c:v>2.04</c:v>
                </c:pt>
                <c:pt idx="18">
                  <c:v>2.16</c:v>
                </c:pt>
                <c:pt idx="19">
                  <c:v>2.2799999999999998</c:v>
                </c:pt>
                <c:pt idx="20">
                  <c:v>2.4</c:v>
                </c:pt>
                <c:pt idx="21">
                  <c:v>2.52</c:v>
                </c:pt>
                <c:pt idx="22">
                  <c:v>2.64</c:v>
                </c:pt>
                <c:pt idx="23">
                  <c:v>2.76</c:v>
                </c:pt>
                <c:pt idx="24">
                  <c:v>2.88</c:v>
                </c:pt>
                <c:pt idx="25">
                  <c:v>3</c:v>
                </c:pt>
                <c:pt idx="26">
                  <c:v>3.12</c:v>
                </c:pt>
                <c:pt idx="27">
                  <c:v>3.24</c:v>
                </c:pt>
                <c:pt idx="28">
                  <c:v>3.36</c:v>
                </c:pt>
                <c:pt idx="29">
                  <c:v>3.48</c:v>
                </c:pt>
                <c:pt idx="30">
                  <c:v>3.6</c:v>
                </c:pt>
                <c:pt idx="31">
                  <c:v>3.72</c:v>
                </c:pt>
                <c:pt idx="32">
                  <c:v>3.84</c:v>
                </c:pt>
                <c:pt idx="33">
                  <c:v>3.96</c:v>
                </c:pt>
                <c:pt idx="34">
                  <c:v>4.08</c:v>
                </c:pt>
                <c:pt idx="35">
                  <c:v>4.2</c:v>
                </c:pt>
                <c:pt idx="36">
                  <c:v>4.32</c:v>
                </c:pt>
                <c:pt idx="37">
                  <c:v>4.4400000000000004</c:v>
                </c:pt>
                <c:pt idx="38">
                  <c:v>4.5599999999999996</c:v>
                </c:pt>
                <c:pt idx="39">
                  <c:v>4.68</c:v>
                </c:pt>
                <c:pt idx="40">
                  <c:v>4.8</c:v>
                </c:pt>
                <c:pt idx="41">
                  <c:v>4.92</c:v>
                </c:pt>
                <c:pt idx="42">
                  <c:v>5.04</c:v>
                </c:pt>
                <c:pt idx="43">
                  <c:v>5.16</c:v>
                </c:pt>
                <c:pt idx="44">
                  <c:v>5.28</c:v>
                </c:pt>
                <c:pt idx="45">
                  <c:v>5.4</c:v>
                </c:pt>
                <c:pt idx="46">
                  <c:v>5.52</c:v>
                </c:pt>
                <c:pt idx="47">
                  <c:v>5.64</c:v>
                </c:pt>
                <c:pt idx="48">
                  <c:v>5.76</c:v>
                </c:pt>
                <c:pt idx="49">
                  <c:v>5.88</c:v>
                </c:pt>
                <c:pt idx="50">
                  <c:v>6</c:v>
                </c:pt>
                <c:pt idx="51">
                  <c:v>6.12</c:v>
                </c:pt>
                <c:pt idx="52">
                  <c:v>6.24</c:v>
                </c:pt>
                <c:pt idx="53">
                  <c:v>6.36</c:v>
                </c:pt>
                <c:pt idx="54">
                  <c:v>6.48</c:v>
                </c:pt>
                <c:pt idx="55">
                  <c:v>6.6</c:v>
                </c:pt>
                <c:pt idx="56">
                  <c:v>6.72</c:v>
                </c:pt>
                <c:pt idx="57">
                  <c:v>6.84</c:v>
                </c:pt>
                <c:pt idx="58">
                  <c:v>6.96</c:v>
                </c:pt>
                <c:pt idx="59">
                  <c:v>7.08</c:v>
                </c:pt>
                <c:pt idx="60">
                  <c:v>7.2</c:v>
                </c:pt>
                <c:pt idx="61">
                  <c:v>7.32</c:v>
                </c:pt>
                <c:pt idx="62">
                  <c:v>7.44</c:v>
                </c:pt>
                <c:pt idx="63">
                  <c:v>7.56</c:v>
                </c:pt>
                <c:pt idx="64">
                  <c:v>7.68</c:v>
                </c:pt>
                <c:pt idx="65">
                  <c:v>7.8</c:v>
                </c:pt>
                <c:pt idx="66">
                  <c:v>7.92</c:v>
                </c:pt>
                <c:pt idx="67">
                  <c:v>8.0399999999999991</c:v>
                </c:pt>
                <c:pt idx="68">
                  <c:v>8.16</c:v>
                </c:pt>
                <c:pt idx="69">
                  <c:v>8.2799999999999994</c:v>
                </c:pt>
                <c:pt idx="70">
                  <c:v>8.4</c:v>
                </c:pt>
                <c:pt idx="71">
                  <c:v>8.52</c:v>
                </c:pt>
                <c:pt idx="72">
                  <c:v>8.64</c:v>
                </c:pt>
                <c:pt idx="73">
                  <c:v>8.76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9.24</c:v>
                </c:pt>
                <c:pt idx="78">
                  <c:v>9.36</c:v>
                </c:pt>
                <c:pt idx="79">
                  <c:v>9.48</c:v>
                </c:pt>
                <c:pt idx="80">
                  <c:v>9.6</c:v>
                </c:pt>
                <c:pt idx="81">
                  <c:v>9.7200000000000006</c:v>
                </c:pt>
                <c:pt idx="82">
                  <c:v>9.84</c:v>
                </c:pt>
                <c:pt idx="83">
                  <c:v>9.9600000000000009</c:v>
                </c:pt>
                <c:pt idx="84">
                  <c:v>10.08</c:v>
                </c:pt>
                <c:pt idx="85">
                  <c:v>10.199999999999999</c:v>
                </c:pt>
                <c:pt idx="86">
                  <c:v>10.32</c:v>
                </c:pt>
                <c:pt idx="87">
                  <c:v>10.44</c:v>
                </c:pt>
                <c:pt idx="88">
                  <c:v>10.56</c:v>
                </c:pt>
                <c:pt idx="89">
                  <c:v>10.68</c:v>
                </c:pt>
                <c:pt idx="90">
                  <c:v>10.8</c:v>
                </c:pt>
                <c:pt idx="91">
                  <c:v>10.92</c:v>
                </c:pt>
                <c:pt idx="92">
                  <c:v>11.04</c:v>
                </c:pt>
                <c:pt idx="93">
                  <c:v>11.16</c:v>
                </c:pt>
                <c:pt idx="94">
                  <c:v>11.28</c:v>
                </c:pt>
                <c:pt idx="95">
                  <c:v>11.4</c:v>
                </c:pt>
                <c:pt idx="96">
                  <c:v>11.52</c:v>
                </c:pt>
                <c:pt idx="97">
                  <c:v>11.64</c:v>
                </c:pt>
                <c:pt idx="98">
                  <c:v>11.76</c:v>
                </c:pt>
                <c:pt idx="99">
                  <c:v>11.88</c:v>
                </c:pt>
                <c:pt idx="100">
                  <c:v>12</c:v>
                </c:pt>
              </c:numCache>
            </c:numRef>
          </c:xVal>
          <c:yVal>
            <c:numRef>
              <c:f>'Efficiency vs Load Calculations'!$BD$9:$BD$109</c:f>
              <c:numCache>
                <c:formatCode>0.0%</c:formatCode>
                <c:ptCount val="101"/>
                <c:pt idx="0">
                  <c:v>0</c:v>
                </c:pt>
                <c:pt idx="1">
                  <c:v>0.63170683427483065</c:v>
                </c:pt>
                <c:pt idx="2">
                  <c:v>0.77332858696867546</c:v>
                </c:pt>
                <c:pt idx="3">
                  <c:v>0.83572970869507091</c:v>
                </c:pt>
                <c:pt idx="4">
                  <c:v>0.87081907045018125</c:v>
                </c:pt>
                <c:pt idx="5">
                  <c:v>0.89328449489457495</c:v>
                </c:pt>
                <c:pt idx="6">
                  <c:v>0.90888291986059333</c:v>
                </c:pt>
                <c:pt idx="7">
                  <c:v>0.92033269328386169</c:v>
                </c:pt>
                <c:pt idx="8">
                  <c:v>0.92908463452314249</c:v>
                </c:pt>
                <c:pt idx="9">
                  <c:v>0.93598369121843916</c:v>
                </c:pt>
                <c:pt idx="10">
                  <c:v>0.94155531020369765</c:v>
                </c:pt>
                <c:pt idx="11">
                  <c:v>0.94614340976015676</c:v>
                </c:pt>
                <c:pt idx="12">
                  <c:v>0.9499825381992707</c:v>
                </c:pt>
                <c:pt idx="13">
                  <c:v>0.95323814723641509</c:v>
                </c:pt>
                <c:pt idx="14">
                  <c:v>0.95603029018931163</c:v>
                </c:pt>
                <c:pt idx="15">
                  <c:v>0.95844819287149441</c:v>
                </c:pt>
                <c:pt idx="16">
                  <c:v>0.96055955104892365</c:v>
                </c:pt>
                <c:pt idx="17">
                  <c:v>0.96241665442143387</c:v>
                </c:pt>
                <c:pt idx="18">
                  <c:v>0.964060532833383</c:v>
                </c:pt>
                <c:pt idx="19">
                  <c:v>0.9655238318379189</c:v>
                </c:pt>
                <c:pt idx="20">
                  <c:v>0.96683284984019269</c:v>
                </c:pt>
                <c:pt idx="21">
                  <c:v>0.96800900880146834</c:v>
                </c:pt>
                <c:pt idx="22">
                  <c:v>0.96906993411736608</c:v>
                </c:pt>
                <c:pt idx="23">
                  <c:v>0.9700302596991377</c:v>
                </c:pt>
                <c:pt idx="24">
                  <c:v>0.97090223652080143</c:v>
                </c:pt>
                <c:pt idx="25">
                  <c:v>0.97169619841722354</c:v>
                </c:pt>
                <c:pt idx="26">
                  <c:v>0.97242092272914071</c:v>
                </c:pt>
                <c:pt idx="27">
                  <c:v>0.97308391248521409</c:v>
                </c:pt>
                <c:pt idx="28">
                  <c:v>0.97369161933981285</c:v>
                </c:pt>
                <c:pt idx="29">
                  <c:v>0.97424962128719583</c:v>
                </c:pt>
                <c:pt idx="30">
                  <c:v>0.97476276550464036</c:v>
                </c:pt>
                <c:pt idx="31">
                  <c:v>0.97523528405438253</c:v>
                </c:pt>
                <c:pt idx="32">
                  <c:v>0.97567088827607307</c:v>
                </c:pt>
                <c:pt idx="33">
                  <c:v>0.97607284631206426</c:v>
                </c:pt>
                <c:pt idx="34">
                  <c:v>0.97644404718007594</c:v>
                </c:pt>
                <c:pt idx="35">
                  <c:v>0.97678705404000787</c:v>
                </c:pt>
                <c:pt idx="36">
                  <c:v>0.97710414872279849</c:v>
                </c:pt>
                <c:pt idx="37">
                  <c:v>0.97739736914899522</c:v>
                </c:pt>
                <c:pt idx="38">
                  <c:v>0.97766854092717603</c:v>
                </c:pt>
                <c:pt idx="39">
                  <c:v>0.97791930416158024</c:v>
                </c:pt>
                <c:pt idx="40">
                  <c:v>0.97815113629537509</c:v>
                </c:pt>
                <c:pt idx="41">
                  <c:v>0.97836537165696746</c:v>
                </c:pt>
                <c:pt idx="42">
                  <c:v>0.97856321825137593</c:v>
                </c:pt>
                <c:pt idx="43">
                  <c:v>0.97874577223917192</c:v>
                </c:pt>
                <c:pt idx="44">
                  <c:v>0.97891403046608894</c:v>
                </c:pt>
                <c:pt idx="45">
                  <c:v>0.97906890134266611</c:v>
                </c:pt>
                <c:pt idx="46">
                  <c:v>0.97921121432187153</c:v>
                </c:pt>
                <c:pt idx="47">
                  <c:v>0.97934172818096465</c:v>
                </c:pt>
                <c:pt idx="48">
                  <c:v>0.97946113827988468</c:v>
                </c:pt>
                <c:pt idx="49">
                  <c:v>0.97957008294065351</c:v>
                </c:pt>
                <c:pt idx="50">
                  <c:v>0.97966914906942515</c:v>
                </c:pt>
                <c:pt idx="51">
                  <c:v>0.97975887712395104</c:v>
                </c:pt>
                <c:pt idx="52">
                  <c:v>0.97983976551358698</c:v>
                </c:pt>
                <c:pt idx="53">
                  <c:v>0.97991227450596508</c:v>
                </c:pt>
                <c:pt idx="54">
                  <c:v>0.97997682970358024</c:v>
                </c:pt>
                <c:pt idx="55">
                  <c:v>0.98003382514444437</c:v>
                </c:pt>
                <c:pt idx="56">
                  <c:v>0.98008362607329502</c:v>
                </c:pt>
                <c:pt idx="57">
                  <c:v>0.9801265714233921</c:v>
                </c:pt>
                <c:pt idx="58">
                  <c:v>0.98016297604346525</c:v>
                </c:pt>
                <c:pt idx="59">
                  <c:v>0.98019313269972952</c:v>
                </c:pt>
                <c:pt idx="60">
                  <c:v>0.98021731387894429</c:v>
                </c:pt>
                <c:pt idx="61">
                  <c:v>0.98023577341510149</c:v>
                </c:pt>
                <c:pt idx="62">
                  <c:v>0.98024874795945416</c:v>
                </c:pt>
                <c:pt idx="63">
                  <c:v>0.98025645831110597</c:v>
                </c:pt>
                <c:pt idx="64">
                  <c:v>0.980259110623251</c:v>
                </c:pt>
                <c:pt idx="65">
                  <c:v>0.98025689749831135</c:v>
                </c:pt>
                <c:pt idx="66">
                  <c:v>0.98024999898362819</c:v>
                </c:pt>
                <c:pt idx="67">
                  <c:v>0.98023858347797754</c:v>
                </c:pt>
                <c:pt idx="68">
                  <c:v>0.98022280855798594</c:v>
                </c:pt>
                <c:pt idx="69">
                  <c:v>0.98020282173247386</c:v>
                </c:pt>
                <c:pt idx="70">
                  <c:v>0.98017876113184654</c:v>
                </c:pt>
                <c:pt idx="71">
                  <c:v>0.98015075613885161</c:v>
                </c:pt>
                <c:pt idx="72">
                  <c:v>0.98011892796632472</c:v>
                </c:pt>
                <c:pt idx="73">
                  <c:v>0.98008339018693669</c:v>
                </c:pt>
                <c:pt idx="74">
                  <c:v>0.98004424921940958</c:v>
                </c:pt>
                <c:pt idx="75">
                  <c:v>0.98000160477519827</c:v>
                </c:pt>
                <c:pt idx="76">
                  <c:v>0.97995555026921632</c:v>
                </c:pt>
                <c:pt idx="77">
                  <c:v>0.97990617319780926</c:v>
                </c:pt>
                <c:pt idx="78">
                  <c:v>0.97985355548685582</c:v>
                </c:pt>
                <c:pt idx="79">
                  <c:v>0.97979777381258182</c:v>
                </c:pt>
                <c:pt idx="80">
                  <c:v>0.97973889989741625</c:v>
                </c:pt>
                <c:pt idx="81">
                  <c:v>0.97967700078298592</c:v>
                </c:pt>
                <c:pt idx="82">
                  <c:v>0.97961213908214073</c:v>
                </c:pt>
                <c:pt idx="83">
                  <c:v>0.97954437321171961</c:v>
                </c:pt>
                <c:pt idx="84">
                  <c:v>0.97947375760760091</c:v>
                </c:pt>
                <c:pt idx="85">
                  <c:v>0.97940034292343547</c:v>
                </c:pt>
                <c:pt idx="86">
                  <c:v>0.97932417621432766</c:v>
                </c:pt>
                <c:pt idx="87">
                  <c:v>0.97924530110661467</c:v>
                </c:pt>
                <c:pt idx="88">
                  <c:v>0.97916375795478261</c:v>
                </c:pt>
                <c:pt idx="89">
                  <c:v>0.97907958398646633</c:v>
                </c:pt>
                <c:pt idx="90">
                  <c:v>0.97899281343639244</c:v>
                </c:pt>
                <c:pt idx="91">
                  <c:v>0.97890347767004482</c:v>
                </c:pt>
                <c:pt idx="92">
                  <c:v>0.97881160529776201</c:v>
                </c:pt>
                <c:pt idx="93">
                  <c:v>0.9787172222799152</c:v>
                </c:pt>
                <c:pt idx="94">
                  <c:v>0.97862035202375042</c:v>
                </c:pt>
                <c:pt idx="95">
                  <c:v>0.97852101547243064</c:v>
                </c:pt>
                <c:pt idx="96">
                  <c:v>0.97841923118676499</c:v>
                </c:pt>
                <c:pt idx="97">
                  <c:v>0.97831501542006483</c:v>
                </c:pt>
                <c:pt idx="98">
                  <c:v>0.97820838218652917</c:v>
                </c:pt>
                <c:pt idx="99">
                  <c:v>0.97809934332352411</c:v>
                </c:pt>
                <c:pt idx="100">
                  <c:v>0.97798790854808593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0-45DB-9682-28670646E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0912"/>
        <c:axId val="158892800"/>
      </c:scatterChart>
      <c:valAx>
        <c:axId val="158390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576315442322012"/>
              <c:y val="0.943549233765134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92800"/>
        <c:crosses val="autoZero"/>
        <c:crossBetween val="midCat"/>
      </c:valAx>
      <c:valAx>
        <c:axId val="158892800"/>
        <c:scaling>
          <c:orientation val="minMax"/>
          <c:max val="1"/>
          <c:min val="0.7000000000000000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Efficiency (%)</a:t>
                </a:r>
              </a:p>
            </c:rich>
          </c:tx>
          <c:layout>
            <c:manualLayout>
              <c:xMode val="edge"/>
              <c:yMode val="edge"/>
              <c:x val="6.7750677506776052E-3"/>
              <c:y val="0.4274197781728969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390912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636970175475957"/>
          <c:y val="3.6290322580645726E-2"/>
          <c:w val="0.11788632112042907"/>
          <c:h val="4.23387096774193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LM5175 Bode Plot</a:t>
            </a:r>
          </a:p>
        </c:rich>
      </c:tx>
      <c:layout>
        <c:manualLayout>
          <c:xMode val="edge"/>
          <c:yMode val="edge"/>
          <c:x val="0.40864917395529671"/>
          <c:y val="2.13776503743483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49854227405264"/>
          <c:y val="9.5803642121931945E-2"/>
          <c:w val="0.80272108843537593"/>
          <c:h val="0.71734049943922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'Stability Calculations'!$Q$12</c:f>
              <c:strCache>
                <c:ptCount val="1"/>
                <c:pt idx="0">
                  <c:v>Gain (dB)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Calculations'!$Q$13:$Q$613</c:f>
              <c:numCache>
                <c:formatCode>0.00</c:formatCode>
                <c:ptCount val="601"/>
                <c:pt idx="0">
                  <c:v>77.384554546408935</c:v>
                </c:pt>
                <c:pt idx="1">
                  <c:v>76.624704706009709</c:v>
                </c:pt>
                <c:pt idx="2">
                  <c:v>75.858442293612029</c:v>
                </c:pt>
                <c:pt idx="3">
                  <c:v>75.086745504324412</c:v>
                </c:pt>
                <c:pt idx="4">
                  <c:v>74.310960858131182</c:v>
                </c:pt>
                <c:pt idx="5">
                  <c:v>73.530509375743833</c:v>
                </c:pt>
                <c:pt idx="6">
                  <c:v>72.747102328050985</c:v>
                </c:pt>
                <c:pt idx="7">
                  <c:v>71.960737673706276</c:v>
                </c:pt>
                <c:pt idx="8">
                  <c:v>71.172422640412918</c:v>
                </c:pt>
                <c:pt idx="9">
                  <c:v>70.381925905836042</c:v>
                </c:pt>
                <c:pt idx="10">
                  <c:v>69.590008620791565</c:v>
                </c:pt>
                <c:pt idx="11">
                  <c:v>68.796816310292428</c:v>
                </c:pt>
                <c:pt idx="12">
                  <c:v>68.002144610928127</c:v>
                </c:pt>
                <c:pt idx="13">
                  <c:v>67.206937801685882</c:v>
                </c:pt>
                <c:pt idx="14">
                  <c:v>66.410712640539742</c:v>
                </c:pt>
                <c:pt idx="15">
                  <c:v>65.613901490618048</c:v>
                </c:pt>
                <c:pt idx="16">
                  <c:v>64.816545637258031</c:v>
                </c:pt>
                <c:pt idx="17">
                  <c:v>64.018846373558887</c:v>
                </c:pt>
                <c:pt idx="18">
                  <c:v>63.220644991937633</c:v>
                </c:pt>
                <c:pt idx="19">
                  <c:v>62.422216325708646</c:v>
                </c:pt>
                <c:pt idx="20">
                  <c:v>61.62345096257674</c:v>
                </c:pt>
                <c:pt idx="21">
                  <c:v>60.824552712890522</c:v>
                </c:pt>
                <c:pt idx="22">
                  <c:v>60.02538443305987</c:v>
                </c:pt>
                <c:pt idx="23">
                  <c:v>59.226171276824431</c:v>
                </c:pt>
                <c:pt idx="24">
                  <c:v>58.42673221691642</c:v>
                </c:pt>
                <c:pt idx="25">
                  <c:v>57.627209179240431</c:v>
                </c:pt>
                <c:pt idx="26">
                  <c:v>56.827430606157812</c:v>
                </c:pt>
                <c:pt idx="27">
                  <c:v>56.027662976816927</c:v>
                </c:pt>
                <c:pt idx="28">
                  <c:v>55.227884709301833</c:v>
                </c:pt>
                <c:pt idx="29">
                  <c:v>54.42860021887941</c:v>
                </c:pt>
                <c:pt idx="30">
                  <c:v>53.628463851029728</c:v>
                </c:pt>
                <c:pt idx="31">
                  <c:v>52.828598208494867</c:v>
                </c:pt>
                <c:pt idx="32">
                  <c:v>52.028464124174285</c:v>
                </c:pt>
                <c:pt idx="33">
                  <c:v>51.228634088752955</c:v>
                </c:pt>
                <c:pt idx="34">
                  <c:v>50.428492648786246</c:v>
                </c:pt>
                <c:pt idx="35">
                  <c:v>49.628490474464783</c:v>
                </c:pt>
                <c:pt idx="36">
                  <c:v>48.828504385315341</c:v>
                </c:pt>
                <c:pt idx="37">
                  <c:v>48.028101599203588</c:v>
                </c:pt>
                <c:pt idx="38">
                  <c:v>47.228040934398265</c:v>
                </c:pt>
                <c:pt idx="39">
                  <c:v>46.427672646745947</c:v>
                </c:pt>
                <c:pt idx="40">
                  <c:v>45.627292013408109</c:v>
                </c:pt>
                <c:pt idx="41">
                  <c:v>44.826820033336318</c:v>
                </c:pt>
                <c:pt idx="42">
                  <c:v>44.026353564403571</c:v>
                </c:pt>
                <c:pt idx="43">
                  <c:v>43.225640013876912</c:v>
                </c:pt>
                <c:pt idx="44">
                  <c:v>42.424870518506907</c:v>
                </c:pt>
                <c:pt idx="45">
                  <c:v>41.623856761857269</c:v>
                </c:pt>
                <c:pt idx="46">
                  <c:v>40.822728054070019</c:v>
                </c:pt>
                <c:pt idx="47">
                  <c:v>40.021272928023272</c:v>
                </c:pt>
                <c:pt idx="48">
                  <c:v>39.219642153569829</c:v>
                </c:pt>
                <c:pt idx="49">
                  <c:v>38.41757583183427</c:v>
                </c:pt>
                <c:pt idx="50">
                  <c:v>37.615132569206921</c:v>
                </c:pt>
                <c:pt idx="51">
                  <c:v>36.812048760271466</c:v>
                </c:pt>
                <c:pt idx="52">
                  <c:v>36.008490951345337</c:v>
                </c:pt>
                <c:pt idx="53">
                  <c:v>35.204324981934164</c:v>
                </c:pt>
                <c:pt idx="54">
                  <c:v>34.399932793818458</c:v>
                </c:pt>
                <c:pt idx="55">
                  <c:v>33.593818688118759</c:v>
                </c:pt>
                <c:pt idx="56">
                  <c:v>32.786955704894652</c:v>
                </c:pt>
                <c:pt idx="57">
                  <c:v>31.97862653409787</c:v>
                </c:pt>
                <c:pt idx="58">
                  <c:v>31.169220846922222</c:v>
                </c:pt>
                <c:pt idx="59">
                  <c:v>30.357914000068178</c:v>
                </c:pt>
                <c:pt idx="60">
                  <c:v>29.544952332199948</c:v>
                </c:pt>
                <c:pt idx="61">
                  <c:v>28.730000038713925</c:v>
                </c:pt>
                <c:pt idx="62">
                  <c:v>27.912412759653517</c:v>
                </c:pt>
                <c:pt idx="63">
                  <c:v>27.092786565150565</c:v>
                </c:pt>
                <c:pt idx="64">
                  <c:v>26.270317415789627</c:v>
                </c:pt>
                <c:pt idx="65">
                  <c:v>25.445228519011479</c:v>
                </c:pt>
                <c:pt idx="66">
                  <c:v>24.617439702832606</c:v>
                </c:pt>
                <c:pt idx="67">
                  <c:v>23.787152237162278</c:v>
                </c:pt>
                <c:pt idx="68">
                  <c:v>22.954319163069663</c:v>
                </c:pt>
                <c:pt idx="69">
                  <c:v>22.119475844778723</c:v>
                </c:pt>
                <c:pt idx="70">
                  <c:v>21.282880878622137</c:v>
                </c:pt>
                <c:pt idx="71">
                  <c:v>20.445226447244117</c:v>
                </c:pt>
                <c:pt idx="72">
                  <c:v>19.606923246466167</c:v>
                </c:pt>
                <c:pt idx="73">
                  <c:v>18.768798511956803</c:v>
                </c:pt>
                <c:pt idx="74">
                  <c:v>17.931246798193147</c:v>
                </c:pt>
                <c:pt idx="75">
                  <c:v>17.094952588757621</c:v>
                </c:pt>
                <c:pt idx="76">
                  <c:v>16.260188736633118</c:v>
                </c:pt>
                <c:pt idx="77">
                  <c:v>15.427577123807346</c:v>
                </c:pt>
                <c:pt idx="78">
                  <c:v>14.597317597960185</c:v>
                </c:pt>
                <c:pt idx="79">
                  <c:v>13.770032976572466</c:v>
                </c:pt>
                <c:pt idx="80">
                  <c:v>12.944321775436967</c:v>
                </c:pt>
                <c:pt idx="81">
                  <c:v>12.121238235411269</c:v>
                </c:pt>
                <c:pt idx="82">
                  <c:v>11.300041925315586</c:v>
                </c:pt>
                <c:pt idx="83">
                  <c:v>10.481074147103882</c:v>
                </c:pt>
                <c:pt idx="84">
                  <c:v>9.6634137558373308</c:v>
                </c:pt>
                <c:pt idx="85">
                  <c:v>8.8471986927142172</c:v>
                </c:pt>
                <c:pt idx="86">
                  <c:v>8.0319564237641909</c:v>
                </c:pt>
                <c:pt idx="87">
                  <c:v>7.2168814656942821</c:v>
                </c:pt>
                <c:pt idx="88">
                  <c:v>6.4023647755496267</c:v>
                </c:pt>
                <c:pt idx="89">
                  <c:v>5.5873445603952536</c:v>
                </c:pt>
                <c:pt idx="90">
                  <c:v>4.7716989068051827</c:v>
                </c:pt>
                <c:pt idx="91">
                  <c:v>3.954896672066373</c:v>
                </c:pt>
                <c:pt idx="92">
                  <c:v>3.1365508916061469</c:v>
                </c:pt>
                <c:pt idx="93">
                  <c:v>2.315873532649674</c:v>
                </c:pt>
                <c:pt idx="94">
                  <c:v>2.1103752053126272</c:v>
                </c:pt>
                <c:pt idx="95">
                  <c:v>2.006920639921387</c:v>
                </c:pt>
                <c:pt idx="96">
                  <c:v>1.9046031125473049</c:v>
                </c:pt>
                <c:pt idx="97">
                  <c:v>1.8010630023597241</c:v>
                </c:pt>
                <c:pt idx="98">
                  <c:v>1.6986581923296225</c:v>
                </c:pt>
                <c:pt idx="99">
                  <c:v>1.5950012272753855</c:v>
                </c:pt>
                <c:pt idx="100">
                  <c:v>1.492478383434811</c:v>
                </c:pt>
                <c:pt idx="101">
                  <c:v>1.388753543980163</c:v>
                </c:pt>
                <c:pt idx="102">
                  <c:v>1.28616045586991</c:v>
                </c:pt>
                <c:pt idx="103">
                  <c:v>1.1822624907607602</c:v>
                </c:pt>
                <c:pt idx="104">
                  <c:v>1.0794960605448709</c:v>
                </c:pt>
                <c:pt idx="105">
                  <c:v>0.9754766799711192</c:v>
                </c:pt>
                <c:pt idx="106">
                  <c:v>0.87258736042007168</c:v>
                </c:pt>
                <c:pt idx="107">
                  <c:v>0.7684945344696209</c:v>
                </c:pt>
                <c:pt idx="108">
                  <c:v>0.66552912697164657</c:v>
                </c:pt>
                <c:pt idx="109">
                  <c:v>0.56133672475337115</c:v>
                </c:pt>
                <c:pt idx="110">
                  <c:v>0.45826952949526045</c:v>
                </c:pt>
                <c:pt idx="111">
                  <c:v>0.35388506037989886</c:v>
                </c:pt>
                <c:pt idx="112">
                  <c:v>0.25062543111824459</c:v>
                </c:pt>
                <c:pt idx="113">
                  <c:v>0.1460998824606837</c:v>
                </c:pt>
                <c:pt idx="114">
                  <c:v>4.2697566144390818E-2</c:v>
                </c:pt>
                <c:pt idx="115">
                  <c:v>-6.19878824073316E-2</c:v>
                </c:pt>
                <c:pt idx="116">
                  <c:v>-0.16555145025277124</c:v>
                </c:pt>
                <c:pt idx="117">
                  <c:v>-0.27041351128857549</c:v>
                </c:pt>
                <c:pt idx="118">
                  <c:v>-0.37415483725067578</c:v>
                </c:pt>
                <c:pt idx="119">
                  <c:v>-0.47914495494883919</c:v>
                </c:pt>
                <c:pt idx="120">
                  <c:v>-0.58301666362292104</c:v>
                </c:pt>
                <c:pt idx="121">
                  <c:v>-0.68815184466865209</c:v>
                </c:pt>
                <c:pt idx="122">
                  <c:v>-0.79217072768491925</c:v>
                </c:pt>
                <c:pt idx="123">
                  <c:v>-0.89752682646570936</c:v>
                </c:pt>
                <c:pt idx="124">
                  <c:v>-1.0017672891747935</c:v>
                </c:pt>
                <c:pt idx="125">
                  <c:v>-1.1072945625296682</c:v>
                </c:pt>
                <c:pt idx="126">
                  <c:v>-1.2117080648251304</c:v>
                </c:pt>
                <c:pt idx="127">
                  <c:v>-1.3174185430629506</c:v>
                </c:pt>
                <c:pt idx="128">
                  <c:v>-1.4220170135020294</c:v>
                </c:pt>
                <c:pt idx="129">
                  <c:v>-1.5279213007065819</c:v>
                </c:pt>
                <c:pt idx="130">
                  <c:v>-1.6327152728719438</c:v>
                </c:pt>
                <c:pt idx="131">
                  <c:v>-1.7388226657072643</c:v>
                </c:pt>
                <c:pt idx="132">
                  <c:v>-1.7914589766198161</c:v>
                </c:pt>
                <c:pt idx="133">
                  <c:v>-1.8438213936368544</c:v>
                </c:pt>
                <c:pt idx="134">
                  <c:v>-1.8971481633953078</c:v>
                </c:pt>
                <c:pt idx="135">
                  <c:v>-1.9501945919856118</c:v>
                </c:pt>
                <c:pt idx="136">
                  <c:v>-2.0029639944704822</c:v>
                </c:pt>
                <c:pt idx="137">
                  <c:v>-2.0554596277565929</c:v>
                </c:pt>
                <c:pt idx="138">
                  <c:v>-2.1088672838053135</c:v>
                </c:pt>
                <c:pt idx="139">
                  <c:v>-2.1619953081112913</c:v>
                </c:pt>
                <c:pt idx="140">
                  <c:v>-2.2148470042993629</c:v>
                </c:pt>
                <c:pt idx="141">
                  <c:v>-2.2674256180146868</c:v>
                </c:pt>
                <c:pt idx="142">
                  <c:v>-2.3209715067765253</c:v>
                </c:pt>
                <c:pt idx="143">
                  <c:v>-2.3742379110555034</c:v>
                </c:pt>
                <c:pt idx="144">
                  <c:v>-2.4272281326463592</c:v>
                </c:pt>
                <c:pt idx="145">
                  <c:v>-2.4799454153118985</c:v>
                </c:pt>
                <c:pt idx="146">
                  <c:v>-2.5336046755020587</c:v>
                </c:pt>
                <c:pt idx="147">
                  <c:v>-2.5869848954071752</c:v>
                </c:pt>
                <c:pt idx="148">
                  <c:v>-2.6400893693836207</c:v>
                </c:pt>
                <c:pt idx="149">
                  <c:v>-2.6929213338300788</c:v>
                </c:pt>
                <c:pt idx="150">
                  <c:v>-2.7466961289451062</c:v>
                </c:pt>
                <c:pt idx="151">
                  <c:v>-2.8001923410622567</c:v>
                </c:pt>
                <c:pt idx="152">
                  <c:v>-2.8534132564737313</c:v>
                </c:pt>
                <c:pt idx="153">
                  <c:v>-2.9063621035987497</c:v>
                </c:pt>
                <c:pt idx="154">
                  <c:v>-2.9602789520947539</c:v>
                </c:pt>
                <c:pt idx="155">
                  <c:v>-3.0139174362797223</c:v>
                </c:pt>
                <c:pt idx="156">
                  <c:v>-3.0672808381586423</c:v>
                </c:pt>
                <c:pt idx="157">
                  <c:v>-3.1203723818556157</c:v>
                </c:pt>
                <c:pt idx="158">
                  <c:v>-3.17443120926559</c:v>
                </c:pt>
                <c:pt idx="159">
                  <c:v>-3.2282119273444225</c:v>
                </c:pt>
                <c:pt idx="160">
                  <c:v>-3.2817178126975506</c:v>
                </c:pt>
                <c:pt idx="161">
                  <c:v>-3.3349520840636906</c:v>
                </c:pt>
                <c:pt idx="162">
                  <c:v>-3.3891288291476713</c:v>
                </c:pt>
                <c:pt idx="163">
                  <c:v>-3.4430279994908037</c:v>
                </c:pt>
                <c:pt idx="164">
                  <c:v>-3.4966528608681093</c:v>
                </c:pt>
                <c:pt idx="165">
                  <c:v>-3.5500066213259815</c:v>
                </c:pt>
                <c:pt idx="166">
                  <c:v>-3.6043487090919859</c:v>
                </c:pt>
                <c:pt idx="167">
                  <c:v>-3.6584133033868911</c:v>
                </c:pt>
                <c:pt idx="168">
                  <c:v>-3.7122036665883238</c:v>
                </c:pt>
                <c:pt idx="169">
                  <c:v>-3.7657230033054456</c:v>
                </c:pt>
                <c:pt idx="170">
                  <c:v>-3.8201142838943398</c:v>
                </c:pt>
                <c:pt idx="171">
                  <c:v>-3.8742293614985019</c:v>
                </c:pt>
                <c:pt idx="172">
                  <c:v>-3.9280714732894078</c:v>
                </c:pt>
                <c:pt idx="173">
                  <c:v>-3.9816437991408717</c:v>
                </c:pt>
                <c:pt idx="174">
                  <c:v>-4.0362898840721568</c:v>
                </c:pt>
                <c:pt idx="175">
                  <c:v>-4.0906589985699782</c:v>
                </c:pt>
                <c:pt idx="176">
                  <c:v>-4.1447543900864448</c:v>
                </c:pt>
                <c:pt idx="177">
                  <c:v>-4.1985792484086772</c:v>
                </c:pt>
                <c:pt idx="178">
                  <c:v>-4.2534503514082225</c:v>
                </c:pt>
                <c:pt idx="179">
                  <c:v>-4.3080440523374302</c:v>
                </c:pt>
                <c:pt idx="180">
                  <c:v>-4.3623636023548764</c:v>
                </c:pt>
                <c:pt idx="181">
                  <c:v>-4.4164121947385659</c:v>
                </c:pt>
                <c:pt idx="182">
                  <c:v>-4.4712658711320188</c:v>
                </c:pt>
                <c:pt idx="183">
                  <c:v>-4.5258441759863093</c:v>
                </c:pt>
                <c:pt idx="184">
                  <c:v>-4.5801503204088005</c:v>
                </c:pt>
                <c:pt idx="185">
                  <c:v>-4.6341874584446394</c:v>
                </c:pt>
                <c:pt idx="186">
                  <c:v>-4.6894310405950455</c:v>
                </c:pt>
                <c:pt idx="187">
                  <c:v>-4.7443972157774725</c:v>
                </c:pt>
                <c:pt idx="188">
                  <c:v>-4.7990892253469983</c:v>
                </c:pt>
                <c:pt idx="189">
                  <c:v>-4.8535102527505085</c:v>
                </c:pt>
                <c:pt idx="190">
                  <c:v>-4.9086942978919188</c:v>
                </c:pt>
                <c:pt idx="191">
                  <c:v>-4.9636034168232399</c:v>
                </c:pt>
                <c:pt idx="192">
                  <c:v>-5.0182408016242865</c:v>
                </c:pt>
                <c:pt idx="193">
                  <c:v>-5.0726095875061938</c:v>
                </c:pt>
                <c:pt idx="194">
                  <c:v>-5.1281277475901241</c:v>
                </c:pt>
                <c:pt idx="195">
                  <c:v>-5.1833695521600651</c:v>
                </c:pt>
                <c:pt idx="196">
                  <c:v>-5.2383382112884691</c:v>
                </c:pt>
                <c:pt idx="197">
                  <c:v>-5.2930368776246901</c:v>
                </c:pt>
                <c:pt idx="198">
                  <c:v>-5.3486576211221077</c:v>
                </c:pt>
                <c:pt idx="199">
                  <c:v>-5.4040028966692031</c:v>
                </c:pt>
                <c:pt idx="200">
                  <c:v>-5.4590758912689008</c:v>
                </c:pt>
                <c:pt idx="201">
                  <c:v>-5.5138797349240134</c:v>
                </c:pt>
                <c:pt idx="202">
                  <c:v>-5.5695832788509474</c:v>
                </c:pt>
                <c:pt idx="203">
                  <c:v>-5.6250124381410735</c:v>
                </c:pt>
                <c:pt idx="204">
                  <c:v>-5.6801703726221575</c:v>
                </c:pt>
                <c:pt idx="205">
                  <c:v>-5.7350601856466614</c:v>
                </c:pt>
                <c:pt idx="206">
                  <c:v>-5.7910185966986454</c:v>
                </c:pt>
                <c:pt idx="207">
                  <c:v>-5.8467020187253649</c:v>
                </c:pt>
                <c:pt idx="208">
                  <c:v>-5.9021136126400551</c:v>
                </c:pt>
                <c:pt idx="209">
                  <c:v>-5.9572564827387167</c:v>
                </c:pt>
                <c:pt idx="210">
                  <c:v>-6.0136283339890815</c:v>
                </c:pt>
                <c:pt idx="211">
                  <c:v>-6.0697230505312465</c:v>
                </c:pt>
                <c:pt idx="212">
                  <c:v>-6.1255438198945997</c:v>
                </c:pt>
                <c:pt idx="213">
                  <c:v>-6.1810937722446671</c:v>
                </c:pt>
                <c:pt idx="214">
                  <c:v>-6.2374752517081387</c:v>
                </c:pt>
                <c:pt idx="215">
                  <c:v>-6.2935814106372625</c:v>
                </c:pt>
                <c:pt idx="216">
                  <c:v>-6.3494153942641756</c:v>
                </c:pt>
                <c:pt idx="217">
                  <c:v>-6.4049802913638674</c:v>
                </c:pt>
                <c:pt idx="218">
                  <c:v>-6.4615369424656599</c:v>
                </c:pt>
                <c:pt idx="219">
                  <c:v>-6.5178184570868698</c:v>
                </c:pt>
                <c:pt idx="220">
                  <c:v>-6.5738279653349982</c:v>
                </c:pt>
                <c:pt idx="221">
                  <c:v>-6.62956854112762</c:v>
                </c:pt>
                <c:pt idx="222">
                  <c:v>-6.6862768926014917</c:v>
                </c:pt>
                <c:pt idx="223">
                  <c:v>-6.7427105098923859</c:v>
                </c:pt>
                <c:pt idx="224">
                  <c:v>-6.7988725034541648</c:v>
                </c:pt>
                <c:pt idx="225">
                  <c:v>-6.8547659279370201</c:v>
                </c:pt>
                <c:pt idx="226">
                  <c:v>-6.9117767812678563</c:v>
                </c:pt>
                <c:pt idx="227">
                  <c:v>-6.9685118355142954</c:v>
                </c:pt>
                <c:pt idx="228">
                  <c:v>-7.0249742054451092</c:v>
                </c:pt>
                <c:pt idx="229">
                  <c:v>-7.0811669498521423</c:v>
                </c:pt>
                <c:pt idx="230">
                  <c:v>-7.1954558412531853</c:v>
                </c:pt>
                <c:pt idx="231">
                  <c:v>-7.2521885376183359</c:v>
                </c:pt>
                <c:pt idx="232">
                  <c:v>-7.3086508294214303</c:v>
                </c:pt>
                <c:pt idx="233">
                  <c:v>-7.3661764975786745</c:v>
                </c:pt>
                <c:pt idx="234">
                  <c:v>-7.4234250807682924</c:v>
                </c:pt>
                <c:pt idx="235">
                  <c:v>-7.4803996853323484</c:v>
                </c:pt>
                <c:pt idx="236">
                  <c:v>-7.5371033617403693</c:v>
                </c:pt>
                <c:pt idx="237">
                  <c:v>-7.5946814262817277</c:v>
                </c:pt>
                <c:pt idx="238">
                  <c:v>-7.6519837003630577</c:v>
                </c:pt>
                <c:pt idx="239">
                  <c:v>-7.709013252527174</c:v>
                </c:pt>
                <c:pt idx="240">
                  <c:v>-7.7657730963239482</c:v>
                </c:pt>
                <c:pt idx="241">
                  <c:v>-7.8237071458668623</c:v>
                </c:pt>
                <c:pt idx="242">
                  <c:v>-7.881363767231047</c:v>
                </c:pt>
                <c:pt idx="243">
                  <c:v>-7.9387460393149931</c:v>
                </c:pt>
                <c:pt idx="244">
                  <c:v>-7.9958569857743349</c:v>
                </c:pt>
                <c:pt idx="245">
                  <c:v>-8.0539562289347906</c:v>
                </c:pt>
                <c:pt idx="246">
                  <c:v>-8.1117782050509</c:v>
                </c:pt>
                <c:pt idx="247">
                  <c:v>-8.1693259727702099</c:v>
                </c:pt>
                <c:pt idx="248">
                  <c:v>-8.2266025359978627</c:v>
                </c:pt>
                <c:pt idx="249">
                  <c:v>-8.2849979651265624</c:v>
                </c:pt>
                <c:pt idx="250">
                  <c:v>-8.3431150097850448</c:v>
                </c:pt>
                <c:pt idx="251">
                  <c:v>-8.4009567288367464</c:v>
                </c:pt>
                <c:pt idx="252">
                  <c:v>-8.4585261264382741</c:v>
                </c:pt>
                <c:pt idx="253">
                  <c:v>-8.5170359627150685</c:v>
                </c:pt>
                <c:pt idx="254">
                  <c:v>-8.5752679915448589</c:v>
                </c:pt>
                <c:pt idx="255">
                  <c:v>-8.6332252436471855</c:v>
                </c:pt>
                <c:pt idx="256">
                  <c:v>-8.6909106957671991</c:v>
                </c:pt>
                <c:pt idx="257">
                  <c:v>-8.7498112008487166</c:v>
                </c:pt>
                <c:pt idx="258">
                  <c:v>-8.8084318189563167</c:v>
                </c:pt>
                <c:pt idx="259">
                  <c:v>-8.8667755955454535</c:v>
                </c:pt>
                <c:pt idx="260">
                  <c:v>-8.9248455218385399</c:v>
                </c:pt>
                <c:pt idx="261">
                  <c:v>-8.9839550242970549</c:v>
                </c:pt>
                <c:pt idx="262">
                  <c:v>-9.0427842477798723</c:v>
                </c:pt>
                <c:pt idx="263">
                  <c:v>-9.1013362244945348</c:v>
                </c:pt>
                <c:pt idx="264">
                  <c:v>-9.1596139328458417</c:v>
                </c:pt>
                <c:pt idx="265">
                  <c:v>-9.2189062692758537</c:v>
                </c:pt>
                <c:pt idx="266">
                  <c:v>-9.277918139377002</c:v>
                </c:pt>
                <c:pt idx="267">
                  <c:v>-9.3366525585570326</c:v>
                </c:pt>
                <c:pt idx="268">
                  <c:v>-9.3951124889604074</c:v>
                </c:pt>
                <c:pt idx="269">
                  <c:v>-9.4547030213035299</c:v>
                </c:pt>
                <c:pt idx="270">
                  <c:v>-9.5140117676782072</c:v>
                </c:pt>
                <c:pt idx="271">
                  <c:v>-9.5730417446877887</c:v>
                </c:pt>
                <c:pt idx="272">
                  <c:v>-9.6317959158161219</c:v>
                </c:pt>
                <c:pt idx="273">
                  <c:v>-9.6916531975150857</c:v>
                </c:pt>
                <c:pt idx="274">
                  <c:v>-9.7512276282932415</c:v>
                </c:pt>
                <c:pt idx="275">
                  <c:v>-9.8105222216697427</c:v>
                </c:pt>
                <c:pt idx="276">
                  <c:v>-9.8695399383166631</c:v>
                </c:pt>
                <c:pt idx="277">
                  <c:v>-9.9294989965648721</c:v>
                </c:pt>
                <c:pt idx="278">
                  <c:v>-9.9891756462862418</c:v>
                </c:pt>
                <c:pt idx="279">
                  <c:v>-10.048572873998276</c:v>
                </c:pt>
                <c:pt idx="280">
                  <c:v>-10.107693614225697</c:v>
                </c:pt>
                <c:pt idx="281">
                  <c:v>-10.168131024798388</c:v>
                </c:pt>
                <c:pt idx="282">
                  <c:v>-10.228282878095678</c:v>
                </c:pt>
                <c:pt idx="283">
                  <c:v>-10.288152190564153</c:v>
                </c:pt>
                <c:pt idx="284">
                  <c:v>-10.347741926220518</c:v>
                </c:pt>
                <c:pt idx="285">
                  <c:v>-10.40822545268259</c:v>
                </c:pt>
                <c:pt idx="286">
                  <c:v>-10.468424297531593</c:v>
                </c:pt>
                <c:pt idx="287">
                  <c:v>-10.528341443808584</c:v>
                </c:pt>
                <c:pt idx="288">
                  <c:v>-10.587979823174853</c:v>
                </c:pt>
                <c:pt idx="289">
                  <c:v>-10.648873919803972</c:v>
                </c:pt>
                <c:pt idx="290">
                  <c:v>-10.709480733802319</c:v>
                </c:pt>
                <c:pt idx="291">
                  <c:v>-10.769803269749707</c:v>
                </c:pt>
                <c:pt idx="292">
                  <c:v>-10.829844480659787</c:v>
                </c:pt>
                <c:pt idx="293">
                  <c:v>-10.890985073511917</c:v>
                </c:pt>
                <c:pt idx="294">
                  <c:v>-10.951837282326107</c:v>
                </c:pt>
                <c:pt idx="295">
                  <c:v>-11.012404110071266</c:v>
                </c:pt>
                <c:pt idx="296">
                  <c:v>-11.072688508517828</c:v>
                </c:pt>
                <c:pt idx="297">
                  <c:v>-11.134045519759315</c:v>
                </c:pt>
                <c:pt idx="298">
                  <c:v>-11.195113283398971</c:v>
                </c:pt>
                <c:pt idx="299">
                  <c:v>-11.255894797645198</c:v>
                </c:pt>
                <c:pt idx="300">
                  <c:v>-11.316393009966779</c:v>
                </c:pt>
                <c:pt idx="301">
                  <c:v>-11.377937787087602</c:v>
                </c:pt>
                <c:pt idx="302">
                  <c:v>-11.439192678029855</c:v>
                </c:pt>
                <c:pt idx="303">
                  <c:v>-11.500160673453477</c:v>
                </c:pt>
                <c:pt idx="304">
                  <c:v>-11.560844713815898</c:v>
                </c:pt>
                <c:pt idx="305">
                  <c:v>-11.62278674357718</c:v>
                </c:pt>
                <c:pt idx="306">
                  <c:v>-11.684436235797191</c:v>
                </c:pt>
                <c:pt idx="307">
                  <c:v>-11.745796205363595</c:v>
                </c:pt>
                <c:pt idx="308">
                  <c:v>-11.806869616806344</c:v>
                </c:pt>
                <c:pt idx="309">
                  <c:v>-11.86893736527654</c:v>
                </c:pt>
                <c:pt idx="310">
                  <c:v>-11.930712442588728</c:v>
                </c:pt>
                <c:pt idx="311">
                  <c:v>-11.992197849867434</c:v>
                </c:pt>
                <c:pt idx="312">
                  <c:v>-12.053396538579719</c:v>
                </c:pt>
                <c:pt idx="313">
                  <c:v>-12.115793618920261</c:v>
                </c:pt>
                <c:pt idx="314">
                  <c:v>-12.17789593914828</c:v>
                </c:pt>
                <c:pt idx="315">
                  <c:v>-12.239706517574334</c:v>
                </c:pt>
                <c:pt idx="316">
                  <c:v>-12.301228322877705</c:v>
                </c:pt>
                <c:pt idx="317">
                  <c:v>-12.363918813835443</c:v>
                </c:pt>
                <c:pt idx="318">
                  <c:v>-12.426312760078982</c:v>
                </c:pt>
                <c:pt idx="319">
                  <c:v>-12.488413193352129</c:v>
                </c:pt>
                <c:pt idx="320">
                  <c:v>-12.550223095883517</c:v>
                </c:pt>
                <c:pt idx="321">
                  <c:v>-12.613172754188515</c:v>
                </c:pt>
                <c:pt idx="322">
                  <c:v>-12.675824375525311</c:v>
                </c:pt>
                <c:pt idx="323">
                  <c:v>-12.738181001596889</c:v>
                </c:pt>
                <c:pt idx="324">
                  <c:v>-12.800245624784798</c:v>
                </c:pt>
                <c:pt idx="325">
                  <c:v>-12.863421842791752</c:v>
                </c:pt>
                <c:pt idx="326">
                  <c:v>-12.926298812292041</c:v>
                </c:pt>
                <c:pt idx="327">
                  <c:v>-12.988879581725625</c:v>
                </c:pt>
                <c:pt idx="328">
                  <c:v>-13.051167150470548</c:v>
                </c:pt>
                <c:pt idx="329">
                  <c:v>-13.11464463444157</c:v>
                </c:pt>
                <c:pt idx="330">
                  <c:v>-13.177820928118258</c:v>
                </c:pt>
                <c:pt idx="331">
                  <c:v>-13.240699098892586</c:v>
                </c:pt>
                <c:pt idx="332">
                  <c:v>-13.303282165085847</c:v>
                </c:pt>
                <c:pt idx="333">
                  <c:v>-13.366921770152118</c:v>
                </c:pt>
                <c:pt idx="334">
                  <c:v>-13.430259540496136</c:v>
                </c:pt>
                <c:pt idx="335">
                  <c:v>-13.493298543804002</c:v>
                </c:pt>
                <c:pt idx="336">
                  <c:v>-13.556041799066529</c:v>
                </c:pt>
                <c:pt idx="337">
                  <c:v>-13.620019275668614</c:v>
                </c:pt>
                <c:pt idx="338">
                  <c:v>-13.683692592453918</c:v>
                </c:pt>
                <c:pt idx="339">
                  <c:v>-13.747064844072286</c:v>
                </c:pt>
                <c:pt idx="340">
                  <c:v>-13.810139076274449</c:v>
                </c:pt>
                <c:pt idx="341">
                  <c:v>-13.874416593105872</c:v>
                </c:pt>
                <c:pt idx="342">
                  <c:v>-13.938387971161363</c:v>
                </c:pt>
                <c:pt idx="343">
                  <c:v>-14.002056327855122</c:v>
                </c:pt>
                <c:pt idx="344">
                  <c:v>-14.065424731569307</c:v>
                </c:pt>
                <c:pt idx="345">
                  <c:v>-14.129868307323143</c:v>
                </c:pt>
                <c:pt idx="346">
                  <c:v>-14.19400503070845</c:v>
                </c:pt>
                <c:pt idx="347">
                  <c:v>-14.257838023666379</c:v>
                </c:pt>
                <c:pt idx="348">
                  <c:v>-14.321370359330048</c:v>
                </c:pt>
                <c:pt idx="349">
                  <c:v>-14.386143679978101</c:v>
                </c:pt>
                <c:pt idx="350">
                  <c:v>-14.450607874313665</c:v>
                </c:pt>
                <c:pt idx="351">
                  <c:v>-14.514766093552495</c:v>
                </c:pt>
                <c:pt idx="352">
                  <c:v>-14.57862143978417</c:v>
                </c:pt>
                <c:pt idx="353">
                  <c:v>-14.643686564455434</c:v>
                </c:pt>
                <c:pt idx="354">
                  <c:v>-14.708440649315715</c:v>
                </c:pt>
                <c:pt idx="355">
                  <c:v>-14.772886870283893</c:v>
                </c:pt>
                <c:pt idx="356">
                  <c:v>-14.837028353900312</c:v>
                </c:pt>
                <c:pt idx="357">
                  <c:v>-14.902256697750166</c:v>
                </c:pt>
                <c:pt idx="358">
                  <c:v>-14.967173318217595</c:v>
                </c:pt>
                <c:pt idx="359">
                  <c:v>-15.031781397958632</c:v>
                </c:pt>
                <c:pt idx="360">
                  <c:v>-15.096084070336001</c:v>
                </c:pt>
                <c:pt idx="361">
                  <c:v>-15.161628363557737</c:v>
                </c:pt>
                <c:pt idx="362">
                  <c:v>-15.226858799089225</c:v>
                </c:pt>
                <c:pt idx="363">
                  <c:v>-15.291778589214669</c:v>
                </c:pt>
                <c:pt idx="364">
                  <c:v>-15.356390896502656</c:v>
                </c:pt>
                <c:pt idx="365">
                  <c:v>-15.422124466698186</c:v>
                </c:pt>
                <c:pt idx="366">
                  <c:v>-15.487543264701531</c:v>
                </c:pt>
                <c:pt idx="367">
                  <c:v>-15.552650514357707</c:v>
                </c:pt>
                <c:pt idx="368">
                  <c:v>-15.617449389708419</c:v>
                </c:pt>
                <c:pt idx="369">
                  <c:v>-15.683516507979029</c:v>
                </c:pt>
                <c:pt idx="370">
                  <c:v>-15.749266572103249</c:v>
                </c:pt>
                <c:pt idx="371">
                  <c:v>-15.814702838935187</c:v>
                </c:pt>
                <c:pt idx="372">
                  <c:v>-15.879828514958522</c:v>
                </c:pt>
                <c:pt idx="373">
                  <c:v>-15.946104656946147</c:v>
                </c:pt>
                <c:pt idx="374">
                  <c:v>-16.012062669130554</c:v>
                </c:pt>
                <c:pt idx="375">
                  <c:v>-16.077705823194073</c:v>
                </c:pt>
                <c:pt idx="376">
                  <c:v>-16.143037340216274</c:v>
                </c:pt>
                <c:pt idx="377">
                  <c:v>-16.209658907850727</c:v>
                </c:pt>
                <c:pt idx="378">
                  <c:v>-16.275959978184474</c:v>
                </c:pt>
                <c:pt idx="379">
                  <c:v>-16.341943857824781</c:v>
                </c:pt>
                <c:pt idx="380">
                  <c:v>-16.407613802090729</c:v>
                </c:pt>
                <c:pt idx="381">
                  <c:v>-16.474376088385345</c:v>
                </c:pt>
                <c:pt idx="382">
                  <c:v>-16.540817490600833</c:v>
                </c:pt>
                <c:pt idx="383">
                  <c:v>-16.606941319756849</c:v>
                </c:pt>
                <c:pt idx="384">
                  <c:v>-16.672750835489939</c:v>
                </c:pt>
                <c:pt idx="385">
                  <c:v>-16.739868580472908</c:v>
                </c:pt>
                <c:pt idx="386">
                  <c:v>-16.806663009926854</c:v>
                </c:pt>
                <c:pt idx="387">
                  <c:v>-16.873137470758945</c:v>
                </c:pt>
                <c:pt idx="388">
                  <c:v>-16.939295257710835</c:v>
                </c:pt>
                <c:pt idx="389">
                  <c:v>-17.006648704855817</c:v>
                </c:pt>
                <c:pt idx="390">
                  <c:v>-17.073677572422891</c:v>
                </c:pt>
                <c:pt idx="391">
                  <c:v>-17.140385224887616</c:v>
                </c:pt>
                <c:pt idx="392">
                  <c:v>-17.206774974120705</c:v>
                </c:pt>
                <c:pt idx="393">
                  <c:v>-17.274330449108749</c:v>
                </c:pt>
                <c:pt idx="394">
                  <c:v>-17.341560419801581</c:v>
                </c:pt>
                <c:pt idx="395">
                  <c:v>-17.408468262542048</c:v>
                </c:pt>
                <c:pt idx="396">
                  <c:v>-17.475057300714973</c:v>
                </c:pt>
                <c:pt idx="397">
                  <c:v>-17.542935861931465</c:v>
                </c:pt>
                <c:pt idx="398">
                  <c:v>-17.610486843520363</c:v>
                </c:pt>
                <c:pt idx="399">
                  <c:v>-17.677713650978397</c:v>
                </c:pt>
                <c:pt idx="400">
                  <c:v>-17.744619636100058</c:v>
                </c:pt>
                <c:pt idx="401">
                  <c:v>-17.812707584302487</c:v>
                </c:pt>
                <c:pt idx="402">
                  <c:v>-17.880466984157536</c:v>
                </c:pt>
                <c:pt idx="403">
                  <c:v>-17.947901252387648</c:v>
                </c:pt>
                <c:pt idx="404">
                  <c:v>-18.015013751617754</c:v>
                </c:pt>
                <c:pt idx="405">
                  <c:v>-18.083352247541033</c:v>
                </c:pt>
                <c:pt idx="406">
                  <c:v>-18.151360838632048</c:v>
                </c:pt>
                <c:pt idx="407">
                  <c:v>-18.219042958003513</c:v>
                </c:pt>
                <c:pt idx="408">
                  <c:v>-18.28640198414487</c:v>
                </c:pt>
                <c:pt idx="409">
                  <c:v>-18.355028391651484</c:v>
                </c:pt>
                <c:pt idx="410">
                  <c:v>-18.423323183244751</c:v>
                </c:pt>
                <c:pt idx="411">
                  <c:v>-18.491289812958325</c:v>
                </c:pt>
                <c:pt idx="412">
                  <c:v>-18.55893167956247</c:v>
                </c:pt>
                <c:pt idx="413">
                  <c:v>-18.62780898477159</c:v>
                </c:pt>
                <c:pt idx="414">
                  <c:v>-18.696353321316433</c:v>
                </c:pt>
                <c:pt idx="415">
                  <c:v>-18.764568157461593</c:v>
                </c:pt>
                <c:pt idx="416">
                  <c:v>-18.83245690569694</c:v>
                </c:pt>
                <c:pt idx="417">
                  <c:v>-18.901619469141757</c:v>
                </c:pt>
                <c:pt idx="418">
                  <c:v>-18.970447376341607</c:v>
                </c:pt>
                <c:pt idx="419">
                  <c:v>-19.038944113803172</c:v>
                </c:pt>
                <c:pt idx="420">
                  <c:v>-19.107113111652843</c:v>
                </c:pt>
                <c:pt idx="421">
                  <c:v>-19.176455692693782</c:v>
                </c:pt>
                <c:pt idx="422">
                  <c:v>-19.245462937317619</c:v>
                </c:pt>
                <c:pt idx="423">
                  <c:v>-19.314138333297915</c:v>
                </c:pt>
                <c:pt idx="424">
                  <c:v>-19.382485311785604</c:v>
                </c:pt>
                <c:pt idx="425">
                  <c:v>-19.452176947531427</c:v>
                </c:pt>
                <c:pt idx="426">
                  <c:v>-19.521530920227001</c:v>
                </c:pt>
                <c:pt idx="427">
                  <c:v>-19.590550743200655</c:v>
                </c:pt>
                <c:pt idx="428">
                  <c:v>-19.659239872394071</c:v>
                </c:pt>
                <c:pt idx="429">
                  <c:v>-19.72917393980034</c:v>
                </c:pt>
                <c:pt idx="430">
                  <c:v>-19.798769028380804</c:v>
                </c:pt>
                <c:pt idx="431">
                  <c:v>-19.868028659885663</c:v>
                </c:pt>
                <c:pt idx="432">
                  <c:v>-19.936956298293872</c:v>
                </c:pt>
                <c:pt idx="433">
                  <c:v>-20.007097485502317</c:v>
                </c:pt>
                <c:pt idx="434">
                  <c:v>-20.076898693593815</c:v>
                </c:pt>
                <c:pt idx="435">
                  <c:v>-20.146363446455297</c:v>
                </c:pt>
                <c:pt idx="436">
                  <c:v>-20.21549520997052</c:v>
                </c:pt>
                <c:pt idx="437">
                  <c:v>-20.285936052712511</c:v>
                </c:pt>
                <c:pt idx="438">
                  <c:v>-20.35603498837763</c:v>
                </c:pt>
                <c:pt idx="439">
                  <c:v>-20.425795555988348</c:v>
                </c:pt>
                <c:pt idx="440">
                  <c:v>-20.495221236067771</c:v>
                </c:pt>
                <c:pt idx="441">
                  <c:v>-20.56592268993824</c:v>
                </c:pt>
                <c:pt idx="442">
                  <c:v>-20.636280648297994</c:v>
                </c:pt>
                <c:pt idx="443">
                  <c:v>-20.706298658663247</c:v>
                </c:pt>
                <c:pt idx="444">
                  <c:v>-20.775980209725819</c:v>
                </c:pt>
                <c:pt idx="445">
                  <c:v>-20.846905125214331</c:v>
                </c:pt>
                <c:pt idx="446">
                  <c:v>-20.917485272071477</c:v>
                </c:pt>
                <c:pt idx="447">
                  <c:v>-20.987724200138743</c:v>
                </c:pt>
                <c:pt idx="448">
                  <c:v>-21.057625400275452</c:v>
                </c:pt>
                <c:pt idx="449">
                  <c:v>-21.128857355957358</c:v>
                </c:pt>
                <c:pt idx="450">
                  <c:v>-21.199742407535396</c:v>
                </c:pt>
                <c:pt idx="451">
                  <c:v>-21.270284119225131</c:v>
                </c:pt>
                <c:pt idx="452">
                  <c:v>-21.340485995871816</c:v>
                </c:pt>
                <c:pt idx="453">
                  <c:v>-21.411926175479245</c:v>
                </c:pt>
                <c:pt idx="454">
                  <c:v>-21.483018218372205</c:v>
                </c:pt>
                <c:pt idx="455">
                  <c:v>-21.553765688131872</c:v>
                </c:pt>
                <c:pt idx="456">
                  <c:v>-21.624172088953703</c:v>
                </c:pt>
                <c:pt idx="457">
                  <c:v>-21.695899636949726</c:v>
                </c:pt>
                <c:pt idx="458">
                  <c:v>-21.767276982787841</c:v>
                </c:pt>
                <c:pt idx="459">
                  <c:v>-21.838307701179144</c:v>
                </c:pt>
                <c:pt idx="460">
                  <c:v>-21.908995307217381</c:v>
                </c:pt>
                <c:pt idx="461">
                  <c:v>-21.980970024729707</c:v>
                </c:pt>
                <c:pt idx="462">
                  <c:v>-22.052592797600106</c:v>
                </c:pt>
                <c:pt idx="463">
                  <c:v>-22.123867205860854</c:v>
                </c:pt>
                <c:pt idx="464">
                  <c:v>-22.194796769872084</c:v>
                </c:pt>
                <c:pt idx="465">
                  <c:v>-22.267035295493287</c:v>
                </c:pt>
                <c:pt idx="466">
                  <c:v>-22.33891989821652</c:v>
                </c:pt>
                <c:pt idx="467">
                  <c:v>-22.410454166286534</c:v>
                </c:pt>
                <c:pt idx="468">
                  <c:v>-22.481641628207981</c:v>
                </c:pt>
                <c:pt idx="469">
                  <c:v>-22.554104144367638</c:v>
                </c:pt>
                <c:pt idx="470">
                  <c:v>-22.626211071156771</c:v>
                </c:pt>
                <c:pt idx="471">
                  <c:v>-22.697965999801163</c:v>
                </c:pt>
                <c:pt idx="472">
                  <c:v>-22.769372461887265</c:v>
                </c:pt>
                <c:pt idx="473">
                  <c:v>-22.842126731620361</c:v>
                </c:pt>
                <c:pt idx="474">
                  <c:v>-22.914523000120496</c:v>
                </c:pt>
                <c:pt idx="475">
                  <c:v>-22.986564872539468</c:v>
                </c:pt>
                <c:pt idx="476">
                  <c:v>-23.058255894303347</c:v>
                </c:pt>
                <c:pt idx="477">
                  <c:v>-23.131259426863657</c:v>
                </c:pt>
                <c:pt idx="478">
                  <c:v>-23.203902878107009</c:v>
                </c:pt>
                <c:pt idx="479">
                  <c:v>-23.27618986198032</c:v>
                </c:pt>
                <c:pt idx="480">
                  <c:v>-23.348123932787189</c:v>
                </c:pt>
                <c:pt idx="481">
                  <c:v>-23.421336100047867</c:v>
                </c:pt>
                <c:pt idx="482">
                  <c:v>-23.494186419696593</c:v>
                </c:pt>
                <c:pt idx="483">
                  <c:v>-23.566678509903692</c:v>
                </c:pt>
                <c:pt idx="484">
                  <c:v>-23.638815929433321</c:v>
                </c:pt>
                <c:pt idx="485">
                  <c:v>-23.712247762682978</c:v>
                </c:pt>
                <c:pt idx="486">
                  <c:v>-23.785315786503588</c:v>
                </c:pt>
                <c:pt idx="487">
                  <c:v>-23.858023626599593</c:v>
                </c:pt>
                <c:pt idx="488">
                  <c:v>-23.930374849487002</c:v>
                </c:pt>
                <c:pt idx="489">
                  <c:v>-24.004084093397253</c:v>
                </c:pt>
                <c:pt idx="490">
                  <c:v>-24.077426906211166</c:v>
                </c:pt>
                <c:pt idx="491">
                  <c:v>-24.150406931582292</c:v>
                </c:pt>
                <c:pt idx="492">
                  <c:v>-24.223027754019828</c:v>
                </c:pt>
                <c:pt idx="493">
                  <c:v>-24.29697039562916</c:v>
                </c:pt>
                <c:pt idx="494">
                  <c:v>-24.370544331741606</c:v>
                </c:pt>
                <c:pt idx="495">
                  <c:v>-24.443753219588498</c:v>
                </c:pt>
                <c:pt idx="496">
                  <c:v>-24.516600657445522</c:v>
                </c:pt>
                <c:pt idx="497">
                  <c:v>-24.590781591750307</c:v>
                </c:pt>
                <c:pt idx="498">
                  <c:v>-24.664591410482863</c:v>
                </c:pt>
                <c:pt idx="499">
                  <c:v>-24.73803378751299</c:v>
                </c:pt>
                <c:pt idx="500">
                  <c:v>-24.811112337924186</c:v>
                </c:pt>
                <c:pt idx="501">
                  <c:v>-24.88553461924155</c:v>
                </c:pt>
                <c:pt idx="502">
                  <c:v>-24.95958325919046</c:v>
                </c:pt>
                <c:pt idx="503">
                  <c:v>-25.03326195126343</c:v>
                </c:pt>
                <c:pt idx="504">
                  <c:v>-25.106574330315141</c:v>
                </c:pt>
                <c:pt idx="505">
                  <c:v>-25.181194145958557</c:v>
                </c:pt>
                <c:pt idx="506">
                  <c:v>-25.255438152328015</c:v>
                </c:pt>
                <c:pt idx="507">
                  <c:v>-25.329310058746948</c:v>
                </c:pt>
                <c:pt idx="508">
                  <c:v>-25.402813516165974</c:v>
                </c:pt>
                <c:pt idx="509">
                  <c:v>-25.477633271624317</c:v>
                </c:pt>
                <c:pt idx="510">
                  <c:v>-25.552074950304473</c:v>
                </c:pt>
                <c:pt idx="511">
                  <c:v>-25.626142280551448</c:v>
                </c:pt>
                <c:pt idx="512">
                  <c:v>-25.699838932565761</c:v>
                </c:pt>
                <c:pt idx="513">
                  <c:v>-25.77490279210814</c:v>
                </c:pt>
                <c:pt idx="514">
                  <c:v>-25.849585789877771</c:v>
                </c:pt>
                <c:pt idx="515">
                  <c:v>-25.923891682782717</c:v>
                </c:pt>
                <c:pt idx="516">
                  <c:v>-25.997824169642591</c:v>
                </c:pt>
                <c:pt idx="517">
                  <c:v>-26.073086366790751</c:v>
                </c:pt>
                <c:pt idx="518">
                  <c:v>-26.147965313792302</c:v>
                </c:pt>
                <c:pt idx="519">
                  <c:v>-26.222464792349264</c:v>
                </c:pt>
                <c:pt idx="520">
                  <c:v>-26.296588526228035</c:v>
                </c:pt>
                <c:pt idx="521">
                  <c:v>-26.372047066934165</c:v>
                </c:pt>
                <c:pt idx="522">
                  <c:v>-26.447119931331748</c:v>
                </c:pt>
                <c:pt idx="523">
                  <c:v>-26.521810928724754</c:v>
                </c:pt>
                <c:pt idx="524">
                  <c:v>-26.596123810588278</c:v>
                </c:pt>
                <c:pt idx="525">
                  <c:v>-26.671775448238584</c:v>
                </c:pt>
                <c:pt idx="526">
                  <c:v>-26.747038966091615</c:v>
                </c:pt>
                <c:pt idx="527">
                  <c:v>-26.821918203701177</c:v>
                </c:pt>
                <c:pt idx="528">
                  <c:v>-26.89641694284947</c:v>
                </c:pt>
                <c:pt idx="529">
                  <c:v>-26.972257292797938</c:v>
                </c:pt>
                <c:pt idx="530">
                  <c:v>-27.047707082356844</c:v>
                </c:pt>
                <c:pt idx="531">
                  <c:v>-27.122770183799791</c:v>
                </c:pt>
                <c:pt idx="532">
                  <c:v>-27.197450411633291</c:v>
                </c:pt>
                <c:pt idx="533">
                  <c:v>-27.27351321165353</c:v>
                </c:pt>
                <c:pt idx="534">
                  <c:v>-27.349182629668086</c:v>
                </c:pt>
                <c:pt idx="535">
                  <c:v>-27.424462578952348</c:v>
                </c:pt>
                <c:pt idx="536">
                  <c:v>-27.499356914844952</c:v>
                </c:pt>
                <c:pt idx="537">
                  <c:v>-27.575556751460688</c:v>
                </c:pt>
                <c:pt idx="538">
                  <c:v>-27.65136124247741</c:v>
                </c:pt>
                <c:pt idx="539">
                  <c:v>-27.726774332089427</c:v>
                </c:pt>
                <c:pt idx="540">
                  <c:v>-27.801799906564813</c:v>
                </c:pt>
                <c:pt idx="541">
                  <c:v>-27.878207183926705</c:v>
                </c:pt>
                <c:pt idx="542">
                  <c:v>-27.954216411213267</c:v>
                </c:pt>
                <c:pt idx="543">
                  <c:v>-28.029831577334285</c:v>
                </c:pt>
                <c:pt idx="544">
                  <c:v>-28.105056612988154</c:v>
                </c:pt>
                <c:pt idx="545">
                  <c:v>-28.181624419745205</c:v>
                </c:pt>
                <c:pt idx="546">
                  <c:v>-28.257791956581251</c:v>
                </c:pt>
                <c:pt idx="547">
                  <c:v>-28.333563252635443</c:v>
                </c:pt>
                <c:pt idx="548">
                  <c:v>-28.408942278605267</c:v>
                </c:pt>
                <c:pt idx="549">
                  <c:v>-28.485662273706602</c:v>
                </c:pt>
                <c:pt idx="550">
                  <c:v>-28.561979876365303</c:v>
                </c:pt>
                <c:pt idx="551">
                  <c:v>-28.63789915722835</c:v>
                </c:pt>
                <c:pt idx="552">
                  <c:v>-28.71342412820588</c:v>
                </c:pt>
                <c:pt idx="553">
                  <c:v>-28.790322778397893</c:v>
                </c:pt>
                <c:pt idx="554">
                  <c:v>-28.866816657494432</c:v>
                </c:pt>
                <c:pt idx="555">
                  <c:v>-28.942909884266204</c:v>
                </c:pt>
                <c:pt idx="556">
                  <c:v>-29.018606518278816</c:v>
                </c:pt>
                <c:pt idx="557">
                  <c:v>-29.172331367773022</c:v>
                </c:pt>
                <c:pt idx="558">
                  <c:v>-29.324444831596367</c:v>
                </c:pt>
                <c:pt idx="559">
                  <c:v>-29.47841174125292</c:v>
                </c:pt>
                <c:pt idx="560">
                  <c:v>-29.630760618348848</c:v>
                </c:pt>
                <c:pt idx="561">
                  <c:v>-29.785082442903743</c:v>
                </c:pt>
                <c:pt idx="562">
                  <c:v>-29.937777459403264</c:v>
                </c:pt>
                <c:pt idx="563">
                  <c:v>-30.092104359938165</c:v>
                </c:pt>
                <c:pt idx="564">
                  <c:v>-30.244803296402662</c:v>
                </c:pt>
                <c:pt idx="565">
                  <c:v>-30.399696907866716</c:v>
                </c:pt>
                <c:pt idx="566">
                  <c:v>-30.552949921239524</c:v>
                </c:pt>
                <c:pt idx="567">
                  <c:v>-30.70830557245786</c:v>
                </c:pt>
                <c:pt idx="568">
                  <c:v>-30.86201052950635</c:v>
                </c:pt>
                <c:pt idx="569">
                  <c:v>-31.017125011412951</c:v>
                </c:pt>
                <c:pt idx="570">
                  <c:v>-31.170593961208532</c:v>
                </c:pt>
                <c:pt idx="571">
                  <c:v>-31.326598382337938</c:v>
                </c:pt>
                <c:pt idx="572">
                  <c:v>-31.480938956101319</c:v>
                </c:pt>
                <c:pt idx="573">
                  <c:v>-31.636549976543566</c:v>
                </c:pt>
                <c:pt idx="574">
                  <c:v>-31.790506481050048</c:v>
                </c:pt>
                <c:pt idx="575">
                  <c:v>-31.946816349286003</c:v>
                </c:pt>
                <c:pt idx="576">
                  <c:v>-32.101458398595668</c:v>
                </c:pt>
                <c:pt idx="577">
                  <c:v>-32.738483523584208</c:v>
                </c:pt>
                <c:pt idx="578">
                  <c:v>-33.348784032453231</c:v>
                </c:pt>
                <c:pt idx="579">
                  <c:v>-34.60339748291171</c:v>
                </c:pt>
                <c:pt idx="580">
                  <c:v>-35.868193538436842</c:v>
                </c:pt>
                <c:pt idx="581">
                  <c:v>-37.142699662290113</c:v>
                </c:pt>
                <c:pt idx="582">
                  <c:v>-38.429460403408193</c:v>
                </c:pt>
                <c:pt idx="583">
                  <c:v>-39.729460091059742</c:v>
                </c:pt>
                <c:pt idx="584">
                  <c:v>-41.045633279548127</c:v>
                </c:pt>
                <c:pt idx="585">
                  <c:v>-42.379014651713895</c:v>
                </c:pt>
                <c:pt idx="586">
                  <c:v>-43.731250414653061</c:v>
                </c:pt>
                <c:pt idx="587">
                  <c:v>-45.104091875071298</c:v>
                </c:pt>
                <c:pt idx="588">
                  <c:v>-46.496742027498648</c:v>
                </c:pt>
                <c:pt idx="589">
                  <c:v>-47.91032066325792</c:v>
                </c:pt>
                <c:pt idx="590">
                  <c:v>-49.343834406784943</c:v>
                </c:pt>
                <c:pt idx="591">
                  <c:v>-50.796540909127842</c:v>
                </c:pt>
                <c:pt idx="592">
                  <c:v>-52.267065728007232</c:v>
                </c:pt>
                <c:pt idx="593">
                  <c:v>-53.754459318381663</c:v>
                </c:pt>
                <c:pt idx="594">
                  <c:v>-55.256824167091651</c:v>
                </c:pt>
                <c:pt idx="595">
                  <c:v>-56.772916910528444</c:v>
                </c:pt>
                <c:pt idx="596">
                  <c:v>-58.300905446212248</c:v>
                </c:pt>
                <c:pt idx="597">
                  <c:v>-59.839659816035592</c:v>
                </c:pt>
                <c:pt idx="598">
                  <c:v>-61.387440676153901</c:v>
                </c:pt>
                <c:pt idx="599">
                  <c:v>-62.943399927824998</c:v>
                </c:pt>
                <c:pt idx="600">
                  <c:v>-64.506180967632105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55-41F1-84E2-E768F8DC0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14272"/>
        <c:axId val="159016448"/>
      </c:scatterChart>
      <c:scatterChart>
        <c:scatterStyle val="lineMarker"/>
        <c:varyColors val="0"/>
        <c:ser>
          <c:idx val="1"/>
          <c:order val="1"/>
          <c:tx>
            <c:strRef>
              <c:f>'Stability Calculations'!$S$12</c:f>
              <c:strCache>
                <c:ptCount val="1"/>
                <c:pt idx="0">
                  <c:v>Phase (°)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Calculations'!$R$13:$R$613</c:f>
              <c:numCache>
                <c:formatCode>0.00</c:formatCode>
                <c:ptCount val="601"/>
                <c:pt idx="0">
                  <c:v>-76.458362923019664</c:v>
                </c:pt>
                <c:pt idx="1">
                  <c:v>-77.613761509870542</c:v>
                </c:pt>
                <c:pt idx="2">
                  <c:v>-78.676591358659394</c:v>
                </c:pt>
                <c:pt idx="3">
                  <c:v>-79.653007197456461</c:v>
                </c:pt>
                <c:pt idx="4">
                  <c:v>-80.548507691620856</c:v>
                </c:pt>
                <c:pt idx="5">
                  <c:v>-81.370419417400342</c:v>
                </c:pt>
                <c:pt idx="6">
                  <c:v>-82.123146915236006</c:v>
                </c:pt>
                <c:pt idx="7">
                  <c:v>-82.812564952678656</c:v>
                </c:pt>
                <c:pt idx="8">
                  <c:v>-83.44324860376264</c:v>
                </c:pt>
                <c:pt idx="9">
                  <c:v>-84.020436956284399</c:v>
                </c:pt>
                <c:pt idx="10">
                  <c:v>-84.548227247824059</c:v>
                </c:pt>
                <c:pt idx="11">
                  <c:v>-85.030844891517972</c:v>
                </c:pt>
                <c:pt idx="12">
                  <c:v>-85.472350059912145</c:v>
                </c:pt>
                <c:pt idx="13">
                  <c:v>-85.875862651315288</c:v>
                </c:pt>
                <c:pt idx="14">
                  <c:v>-86.244986350775491</c:v>
                </c:pt>
                <c:pt idx="15">
                  <c:v>-86.582582073653825</c:v>
                </c:pt>
                <c:pt idx="16">
                  <c:v>-86.891456174094301</c:v>
                </c:pt>
                <c:pt idx="17">
                  <c:v>-87.174123141194016</c:v>
                </c:pt>
                <c:pt idx="18">
                  <c:v>-87.433011819739662</c:v>
                </c:pt>
                <c:pt idx="19">
                  <c:v>-87.670208703004349</c:v>
                </c:pt>
                <c:pt idx="20">
                  <c:v>-87.887745389530949</c:v>
                </c:pt>
                <c:pt idx="21">
                  <c:v>-88.08740168542046</c:v>
                </c:pt>
                <c:pt idx="22">
                  <c:v>-88.270898147009802</c:v>
                </c:pt>
                <c:pt idx="23">
                  <c:v>-88.439734465462706</c:v>
                </c:pt>
                <c:pt idx="24">
                  <c:v>-88.595377471493563</c:v>
                </c:pt>
                <c:pt idx="25">
                  <c:v>-88.739114997365277</c:v>
                </c:pt>
                <c:pt idx="26">
                  <c:v>-88.87219234413476</c:v>
                </c:pt>
                <c:pt idx="27">
                  <c:v>-88.99569104950416</c:v>
                </c:pt>
                <c:pt idx="28">
                  <c:v>-89.110663490985146</c:v>
                </c:pt>
                <c:pt idx="29">
                  <c:v>-89.218019936545005</c:v>
                </c:pt>
                <c:pt idx="30">
                  <c:v>-89.31884793846811</c:v>
                </c:pt>
                <c:pt idx="31">
                  <c:v>-89.413853899228926</c:v>
                </c:pt>
                <c:pt idx="32">
                  <c:v>-89.50390793716538</c:v>
                </c:pt>
                <c:pt idx="33">
                  <c:v>-89.589708734935513</c:v>
                </c:pt>
                <c:pt idx="34">
                  <c:v>-89.672048940847688</c:v>
                </c:pt>
                <c:pt idx="35">
                  <c:v>-89.751577179905723</c:v>
                </c:pt>
                <c:pt idx="36">
                  <c:v>-89.828977839328743</c:v>
                </c:pt>
                <c:pt idx="37">
                  <c:v>-89.904943736077172</c:v>
                </c:pt>
                <c:pt idx="38">
                  <c:v>-89.980040735953239</c:v>
                </c:pt>
                <c:pt idx="39">
                  <c:v>-90.054958985406657</c:v>
                </c:pt>
                <c:pt idx="40">
                  <c:v>-90.130295297616044</c:v>
                </c:pt>
                <c:pt idx="41">
                  <c:v>-90.20668174053182</c:v>
                </c:pt>
                <c:pt idx="42">
                  <c:v>-90.284737734845365</c:v>
                </c:pt>
                <c:pt idx="43">
                  <c:v>-90.365125244414799</c:v>
                </c:pt>
                <c:pt idx="44">
                  <c:v>-90.448474331885805</c:v>
                </c:pt>
                <c:pt idx="45">
                  <c:v>-90.53546870983881</c:v>
                </c:pt>
                <c:pt idx="46">
                  <c:v>-90.626775885469129</c:v>
                </c:pt>
                <c:pt idx="47">
                  <c:v>-90.72312102786664</c:v>
                </c:pt>
                <c:pt idx="48">
                  <c:v>-90.825206843876373</c:v>
                </c:pt>
                <c:pt idx="49">
                  <c:v>-90.933807027997148</c:v>
                </c:pt>
                <c:pt idx="50">
                  <c:v>-91.04967260130978</c:v>
                </c:pt>
                <c:pt idx="51">
                  <c:v>-91.173614860059132</c:v>
                </c:pt>
                <c:pt idx="52">
                  <c:v>-91.306386404761767</c:v>
                </c:pt>
                <c:pt idx="53">
                  <c:v>-91.44877948608908</c:v>
                </c:pt>
                <c:pt idx="54">
                  <c:v>-91.601467965057495</c:v>
                </c:pt>
                <c:pt idx="55">
                  <c:v>-91.765455465356226</c:v>
                </c:pt>
                <c:pt idx="56">
                  <c:v>-91.941205935153832</c:v>
                </c:pt>
                <c:pt idx="57">
                  <c:v>-92.129432791005428</c:v>
                </c:pt>
                <c:pt idx="58">
                  <c:v>-92.33047259601851</c:v>
                </c:pt>
                <c:pt idx="59">
                  <c:v>-92.544789588760011</c:v>
                </c:pt>
                <c:pt idx="60">
                  <c:v>-92.772370393829846</c:v>
                </c:pt>
                <c:pt idx="61">
                  <c:v>-93.013100085747197</c:v>
                </c:pt>
                <c:pt idx="62">
                  <c:v>-93.266685930146608</c:v>
                </c:pt>
                <c:pt idx="63">
                  <c:v>-93.532146247997204</c:v>
                </c:pt>
                <c:pt idx="64">
                  <c:v>-93.808640930455908</c:v>
                </c:pt>
                <c:pt idx="65">
                  <c:v>-94.09474051772834</c:v>
                </c:pt>
                <c:pt idx="66">
                  <c:v>-94.388938215038934</c:v>
                </c:pt>
                <c:pt idx="67">
                  <c:v>-94.689587617783062</c:v>
                </c:pt>
                <c:pt idx="68">
                  <c:v>-94.995277345741926</c:v>
                </c:pt>
                <c:pt idx="69">
                  <c:v>-95.304753465678886</c:v>
                </c:pt>
                <c:pt idx="70">
                  <c:v>-95.617478392013552</c:v>
                </c:pt>
                <c:pt idx="71">
                  <c:v>-95.933604463373413</c:v>
                </c:pt>
                <c:pt idx="72">
                  <c:v>-96.254435811972044</c:v>
                </c:pt>
                <c:pt idx="73">
                  <c:v>-96.582286172751495</c:v>
                </c:pt>
                <c:pt idx="74">
                  <c:v>-96.920837669035635</c:v>
                </c:pt>
                <c:pt idx="75">
                  <c:v>-97.274797980848987</c:v>
                </c:pt>
                <c:pt idx="76">
                  <c:v>-97.650047984934645</c:v>
                </c:pt>
                <c:pt idx="77">
                  <c:v>-98.053118120604154</c:v>
                </c:pt>
                <c:pt idx="78">
                  <c:v>-98.491312342695721</c:v>
                </c:pt>
                <c:pt idx="79">
                  <c:v>-98.97206122767615</c:v>
                </c:pt>
                <c:pt idx="80">
                  <c:v>-99.504250262329492</c:v>
                </c:pt>
                <c:pt idx="81">
                  <c:v>-100.0954254509131</c:v>
                </c:pt>
                <c:pt idx="82">
                  <c:v>-100.75436223958479</c:v>
                </c:pt>
                <c:pt idx="83">
                  <c:v>-101.48908519044974</c:v>
                </c:pt>
                <c:pt idx="84">
                  <c:v>-102.3088261847371</c:v>
                </c:pt>
                <c:pt idx="85">
                  <c:v>-103.22203653937405</c:v>
                </c:pt>
                <c:pt idx="86">
                  <c:v>-104.23801318371487</c:v>
                </c:pt>
                <c:pt idx="87">
                  <c:v>-105.36695684446443</c:v>
                </c:pt>
                <c:pt idx="88">
                  <c:v>-106.6178466993443</c:v>
                </c:pt>
                <c:pt idx="89">
                  <c:v>-108.00226515858093</c:v>
                </c:pt>
                <c:pt idx="90">
                  <c:v>-109.53094985074179</c:v>
                </c:pt>
                <c:pt idx="91">
                  <c:v>-111.2158792697583</c:v>
                </c:pt>
                <c:pt idx="92">
                  <c:v>-113.06930987596225</c:v>
                </c:pt>
                <c:pt idx="93">
                  <c:v>-115.10495368972566</c:v>
                </c:pt>
                <c:pt idx="94">
                  <c:v>-115.6436667857153</c:v>
                </c:pt>
                <c:pt idx="95">
                  <c:v>-115.91937946833387</c:v>
                </c:pt>
                <c:pt idx="96">
                  <c:v>-116.19505737027653</c:v>
                </c:pt>
                <c:pt idx="97">
                  <c:v>-116.47708203852133</c:v>
                </c:pt>
                <c:pt idx="98">
                  <c:v>-116.75905460540125</c:v>
                </c:pt>
                <c:pt idx="99">
                  <c:v>-117.04757406075004</c:v>
                </c:pt>
                <c:pt idx="100">
                  <c:v>-117.33602315545431</c:v>
                </c:pt>
                <c:pt idx="101">
                  <c:v>-117.63099721578696</c:v>
                </c:pt>
                <c:pt idx="102">
                  <c:v>-117.92588177755329</c:v>
                </c:pt>
                <c:pt idx="103">
                  <c:v>-118.2277076249574</c:v>
                </c:pt>
                <c:pt idx="104">
                  <c:v>-118.52942363536687</c:v>
                </c:pt>
                <c:pt idx="105">
                  <c:v>-118.83805497331926</c:v>
                </c:pt>
                <c:pt idx="106">
                  <c:v>-119.14655514683199</c:v>
                </c:pt>
                <c:pt idx="107">
                  <c:v>-119.46194284947832</c:v>
                </c:pt>
                <c:pt idx="108">
                  <c:v>-119.77717707914984</c:v>
                </c:pt>
                <c:pt idx="109">
                  <c:v>-120.09948855067266</c:v>
                </c:pt>
                <c:pt idx="110">
                  <c:v>-120.42162302050126</c:v>
                </c:pt>
                <c:pt idx="111">
                  <c:v>-120.75124092281749</c:v>
                </c:pt>
                <c:pt idx="112">
                  <c:v>-121.08065671439248</c:v>
                </c:pt>
                <c:pt idx="113">
                  <c:v>-121.41752084203253</c:v>
                </c:pt>
                <c:pt idx="114">
                  <c:v>-121.75415659149201</c:v>
                </c:pt>
                <c:pt idx="115">
                  <c:v>-122.09842194513547</c:v>
                </c:pt>
                <c:pt idx="116">
                  <c:v>-122.44243117013536</c:v>
                </c:pt>
                <c:pt idx="117">
                  <c:v>-122.79424809266222</c:v>
                </c:pt>
                <c:pt idx="118">
                  <c:v>-123.14577956253423</c:v>
                </c:pt>
                <c:pt idx="119">
                  <c:v>-123.50507566211294</c:v>
                </c:pt>
                <c:pt idx="120">
                  <c:v>-123.86405570816081</c:v>
                </c:pt>
                <c:pt idx="121">
                  <c:v>-124.23097235714606</c:v>
                </c:pt>
                <c:pt idx="122">
                  <c:v>-124.59754066276676</c:v>
                </c:pt>
                <c:pt idx="123">
                  <c:v>-124.97243085208164</c:v>
                </c:pt>
                <c:pt idx="124">
                  <c:v>-125.34693817785428</c:v>
                </c:pt>
                <c:pt idx="125">
                  <c:v>-125.72971439572551</c:v>
                </c:pt>
                <c:pt idx="126">
                  <c:v>-126.11207176149455</c:v>
                </c:pt>
                <c:pt idx="127">
                  <c:v>-126.50285835276162</c:v>
                </c:pt>
                <c:pt idx="128">
                  <c:v>-126.89318813236413</c:v>
                </c:pt>
                <c:pt idx="129">
                  <c:v>-127.29210319184699</c:v>
                </c:pt>
                <c:pt idx="130">
                  <c:v>-127.69052141399119</c:v>
                </c:pt>
                <c:pt idx="131">
                  <c:v>-128.09767647840496</c:v>
                </c:pt>
                <c:pt idx="132">
                  <c:v>-128.30105245343725</c:v>
                </c:pt>
                <c:pt idx="133">
                  <c:v>-128.50429251842513</c:v>
                </c:pt>
                <c:pt idx="134">
                  <c:v>-128.71222198453893</c:v>
                </c:pt>
                <c:pt idx="135">
                  <c:v>-128.92000661227607</c:v>
                </c:pt>
                <c:pt idx="136">
                  <c:v>-129.1276452171542</c:v>
                </c:pt>
                <c:pt idx="137">
                  <c:v>-129.33513663075519</c:v>
                </c:pt>
                <c:pt idx="138">
                  <c:v>-129.5471854486685</c:v>
                </c:pt>
                <c:pt idx="139">
                  <c:v>-129.75907789407586</c:v>
                </c:pt>
                <c:pt idx="140">
                  <c:v>-129.97081276736552</c:v>
                </c:pt>
                <c:pt idx="141">
                  <c:v>-130.18238888523143</c:v>
                </c:pt>
                <c:pt idx="142">
                  <c:v>-130.39881653099258</c:v>
                </c:pt>
                <c:pt idx="143">
                  <c:v>-130.61507534428381</c:v>
                </c:pt>
                <c:pt idx="144">
                  <c:v>-130.8311641068029</c:v>
                </c:pt>
                <c:pt idx="145">
                  <c:v>-131.04708161690027</c:v>
                </c:pt>
                <c:pt idx="146">
                  <c:v>-131.26782218126502</c:v>
                </c:pt>
                <c:pt idx="147">
                  <c:v>-131.48838097455362</c:v>
                </c:pt>
                <c:pt idx="148">
                  <c:v>-131.70875676190528</c:v>
                </c:pt>
                <c:pt idx="149">
                  <c:v>-131.92894832546659</c:v>
                </c:pt>
                <c:pt idx="150">
                  <c:v>-132.15403910855105</c:v>
                </c:pt>
                <c:pt idx="151">
                  <c:v>-132.37893452449308</c:v>
                </c:pt>
                <c:pt idx="152">
                  <c:v>-132.60363332240323</c:v>
                </c:pt>
                <c:pt idx="153">
                  <c:v>-132.82813426879753</c:v>
                </c:pt>
                <c:pt idx="154">
                  <c:v>-133.05771391534182</c:v>
                </c:pt>
                <c:pt idx="155">
                  <c:v>-133.287083725407</c:v>
                </c:pt>
                <c:pt idx="156">
                  <c:v>-133.51624243112767</c:v>
                </c:pt>
                <c:pt idx="157">
                  <c:v>-133.74518878251962</c:v>
                </c:pt>
                <c:pt idx="158">
                  <c:v>-133.9792848293028</c:v>
                </c:pt>
                <c:pt idx="159">
                  <c:v>-134.21315584841557</c:v>
                </c:pt>
                <c:pt idx="160">
                  <c:v>-134.44680055616178</c:v>
                </c:pt>
                <c:pt idx="161">
                  <c:v>-134.68021768724881</c:v>
                </c:pt>
                <c:pt idx="162">
                  <c:v>-134.91874829257759</c:v>
                </c:pt>
                <c:pt idx="163">
                  <c:v>-135.15703814841862</c:v>
                </c:pt>
                <c:pt idx="164">
                  <c:v>-135.39508595840195</c:v>
                </c:pt>
                <c:pt idx="165">
                  <c:v>-135.63289044509909</c:v>
                </c:pt>
                <c:pt idx="166">
                  <c:v>-135.87608367629699</c:v>
                </c:pt>
                <c:pt idx="167">
                  <c:v>-136.1190192514515</c:v>
                </c:pt>
                <c:pt idx="168">
                  <c:v>-136.36169585989384</c:v>
                </c:pt>
                <c:pt idx="169">
                  <c:v>-136.60411221055134</c:v>
                </c:pt>
                <c:pt idx="170">
                  <c:v>-136.85146061143863</c:v>
                </c:pt>
                <c:pt idx="171">
                  <c:v>-137.09853480307316</c:v>
                </c:pt>
                <c:pt idx="172">
                  <c:v>-137.34533347097855</c:v>
                </c:pt>
                <c:pt idx="173">
                  <c:v>-137.59185532081241</c:v>
                </c:pt>
                <c:pt idx="174">
                  <c:v>-137.84430329917009</c:v>
                </c:pt>
                <c:pt idx="175">
                  <c:v>-138.09645763486517</c:v>
                </c:pt>
                <c:pt idx="176">
                  <c:v>-138.34831699724947</c:v>
                </c:pt>
                <c:pt idx="177">
                  <c:v>-138.59988007670492</c:v>
                </c:pt>
                <c:pt idx="178">
                  <c:v>-138.85732048491926</c:v>
                </c:pt>
                <c:pt idx="179">
                  <c:v>-139.11444714277343</c:v>
                </c:pt>
                <c:pt idx="180">
                  <c:v>-139.37125870848118</c:v>
                </c:pt>
                <c:pt idx="181">
                  <c:v>-139.62775386220432</c:v>
                </c:pt>
                <c:pt idx="182">
                  <c:v>-139.88905160518459</c:v>
                </c:pt>
                <c:pt idx="183">
                  <c:v>-140.15001744784968</c:v>
                </c:pt>
                <c:pt idx="184">
                  <c:v>-140.41065005829637</c:v>
                </c:pt>
                <c:pt idx="185">
                  <c:v>-140.67094812715507</c:v>
                </c:pt>
                <c:pt idx="186">
                  <c:v>-140.93804183760179</c:v>
                </c:pt>
                <c:pt idx="187">
                  <c:v>-141.20477965680249</c:v>
                </c:pt>
                <c:pt idx="188">
                  <c:v>-141.4711602369959</c:v>
                </c:pt>
                <c:pt idx="189">
                  <c:v>-141.73718225427012</c:v>
                </c:pt>
                <c:pt idx="190">
                  <c:v>-142.00791078896077</c:v>
                </c:pt>
                <c:pt idx="191">
                  <c:v>-142.27826424274704</c:v>
                </c:pt>
                <c:pt idx="192">
                  <c:v>-142.54824128899722</c:v>
                </c:pt>
                <c:pt idx="193">
                  <c:v>-142.81784062553749</c:v>
                </c:pt>
                <c:pt idx="194">
                  <c:v>-143.09411407604469</c:v>
                </c:pt>
                <c:pt idx="195">
                  <c:v>-143.36998705135619</c:v>
                </c:pt>
                <c:pt idx="196">
                  <c:v>-143.64545822254007</c:v>
                </c:pt>
                <c:pt idx="197">
                  <c:v>-143.92052628648179</c:v>
                </c:pt>
                <c:pt idx="198">
                  <c:v>-144.20119996467426</c:v>
                </c:pt>
                <c:pt idx="199">
                  <c:v>-144.48145001770621</c:v>
                </c:pt>
                <c:pt idx="200">
                  <c:v>-144.76127513651014</c:v>
                </c:pt>
                <c:pt idx="201">
                  <c:v>-145.04067403883457</c:v>
                </c:pt>
                <c:pt idx="202">
                  <c:v>-145.32561874082208</c:v>
                </c:pt>
                <c:pt idx="203">
                  <c:v>-145.61011614411646</c:v>
                </c:pt>
                <c:pt idx="204">
                  <c:v>-145.89416496684427</c:v>
                </c:pt>
                <c:pt idx="205">
                  <c:v>-146.17776395495176</c:v>
                </c:pt>
                <c:pt idx="206">
                  <c:v>-146.46783641060466</c:v>
                </c:pt>
                <c:pt idx="207">
                  <c:v>-146.75743416578237</c:v>
                </c:pt>
                <c:pt idx="208">
                  <c:v>-147.04655596077066</c:v>
                </c:pt>
                <c:pt idx="209">
                  <c:v>-147.3352005650728</c:v>
                </c:pt>
                <c:pt idx="210">
                  <c:v>-147.63122807604896</c:v>
                </c:pt>
                <c:pt idx="211">
                  <c:v>-147.92674944299273</c:v>
                </c:pt>
                <c:pt idx="212">
                  <c:v>-148.22176342589395</c:v>
                </c:pt>
                <c:pt idx="213">
                  <c:v>-148.51626881576786</c:v>
                </c:pt>
                <c:pt idx="214">
                  <c:v>-148.81611962210187</c:v>
                </c:pt>
                <c:pt idx="215">
                  <c:v>-149.1154389137767</c:v>
                </c:pt>
                <c:pt idx="216">
                  <c:v>-149.41422550544067</c:v>
                </c:pt>
                <c:pt idx="217">
                  <c:v>-149.71247824374899</c:v>
                </c:pt>
                <c:pt idx="218">
                  <c:v>-150.01697811312744</c:v>
                </c:pt>
                <c:pt idx="219">
                  <c:v>-150.32091716677388</c:v>
                </c:pt>
                <c:pt idx="220">
                  <c:v>-150.62429427208539</c:v>
                </c:pt>
                <c:pt idx="221">
                  <c:v>-150.92710832984395</c:v>
                </c:pt>
                <c:pt idx="222">
                  <c:v>-151.2360898938239</c:v>
                </c:pt>
                <c:pt idx="223">
                  <c:v>-151.54448080828539</c:v>
                </c:pt>
                <c:pt idx="224">
                  <c:v>-151.85228000445292</c:v>
                </c:pt>
                <c:pt idx="225">
                  <c:v>-152.15948644828714</c:v>
                </c:pt>
                <c:pt idx="226">
                  <c:v>-152.4737329862962</c:v>
                </c:pt>
                <c:pt idx="227">
                  <c:v>-152.78735476909313</c:v>
                </c:pt>
                <c:pt idx="228">
                  <c:v>-153.10035079422275</c:v>
                </c:pt>
                <c:pt idx="229">
                  <c:v>-153.41272009571802</c:v>
                </c:pt>
                <c:pt idx="230">
                  <c:v>-154.05068892181438</c:v>
                </c:pt>
                <c:pt idx="231">
                  <c:v>-154.36868314869011</c:v>
                </c:pt>
                <c:pt idx="232">
                  <c:v>-154.68601606027667</c:v>
                </c:pt>
                <c:pt idx="233">
                  <c:v>-155.01019616422991</c:v>
                </c:pt>
                <c:pt idx="234">
                  <c:v>-155.33368142846447</c:v>
                </c:pt>
                <c:pt idx="235">
                  <c:v>-155.65647102596432</c:v>
                </c:pt>
                <c:pt idx="236">
                  <c:v>-155.97856416956509</c:v>
                </c:pt>
                <c:pt idx="237">
                  <c:v>-156.30647396693868</c:v>
                </c:pt>
                <c:pt idx="238">
                  <c:v>-156.63365723082518</c:v>
                </c:pt>
                <c:pt idx="239">
                  <c:v>-156.96011325011011</c:v>
                </c:pt>
                <c:pt idx="240">
                  <c:v>-157.28584135464308</c:v>
                </c:pt>
                <c:pt idx="241">
                  <c:v>-157.61914100531368</c:v>
                </c:pt>
                <c:pt idx="242">
                  <c:v>-157.95167374457696</c:v>
                </c:pt>
                <c:pt idx="243">
                  <c:v>-158.28343898023053</c:v>
                </c:pt>
                <c:pt idx="244">
                  <c:v>-158.61443616299024</c:v>
                </c:pt>
                <c:pt idx="245">
                  <c:v>-158.95197416348077</c:v>
                </c:pt>
                <c:pt idx="246">
                  <c:v>-159.28870866691008</c:v>
                </c:pt>
                <c:pt idx="247">
                  <c:v>-159.62463922186006</c:v>
                </c:pt>
                <c:pt idx="248">
                  <c:v>-159.9597654212009</c:v>
                </c:pt>
                <c:pt idx="249">
                  <c:v>-160.30223102811334</c:v>
                </c:pt>
                <c:pt idx="250">
                  <c:v>-160.64385183892523</c:v>
                </c:pt>
                <c:pt idx="251">
                  <c:v>-160.98462755642973</c:v>
                </c:pt>
                <c:pt idx="252">
                  <c:v>-161.32455792942807</c:v>
                </c:pt>
                <c:pt idx="253">
                  <c:v>-161.6708100121692</c:v>
                </c:pt>
                <c:pt idx="254">
                  <c:v>-162.01618020429959</c:v>
                </c:pt>
                <c:pt idx="255">
                  <c:v>-162.36066838246634</c:v>
                </c:pt>
                <c:pt idx="256">
                  <c:v>-162.70427447040555</c:v>
                </c:pt>
                <c:pt idx="257">
                  <c:v>-163.05586557508468</c:v>
                </c:pt>
                <c:pt idx="258">
                  <c:v>-163.406528279741</c:v>
                </c:pt>
                <c:pt idx="259">
                  <c:v>-163.75626265178198</c:v>
                </c:pt>
                <c:pt idx="260">
                  <c:v>-164.10506880758774</c:v>
                </c:pt>
                <c:pt idx="261">
                  <c:v>-164.46084244812127</c:v>
                </c:pt>
                <c:pt idx="262">
                  <c:v>-164.81564560097402</c:v>
                </c:pt>
                <c:pt idx="263">
                  <c:v>-165.16947854448529</c:v>
                </c:pt>
                <c:pt idx="264">
                  <c:v>-165.52234160715486</c:v>
                </c:pt>
                <c:pt idx="265">
                  <c:v>-165.88204401521838</c:v>
                </c:pt>
                <c:pt idx="266">
                  <c:v>-166.24073380859085</c:v>
                </c:pt>
                <c:pt idx="267">
                  <c:v>-166.59841149523209</c:v>
                </c:pt>
                <c:pt idx="268">
                  <c:v>-166.9550776342233</c:v>
                </c:pt>
                <c:pt idx="269">
                  <c:v>-167.3193110412854</c:v>
                </c:pt>
                <c:pt idx="270">
                  <c:v>-167.68248479095445</c:v>
                </c:pt>
                <c:pt idx="271">
                  <c:v>-168.04459964469254</c:v>
                </c:pt>
                <c:pt idx="272">
                  <c:v>-168.40565641628407</c:v>
                </c:pt>
                <c:pt idx="273">
                  <c:v>-168.77413377254058</c:v>
                </c:pt>
                <c:pt idx="274">
                  <c:v>-169.14150443769589</c:v>
                </c:pt>
                <c:pt idx="275">
                  <c:v>-169.50776944852066</c:v>
                </c:pt>
                <c:pt idx="276">
                  <c:v>-169.8729298950183</c:v>
                </c:pt>
                <c:pt idx="277">
                  <c:v>-170.24452481917487</c:v>
                </c:pt>
                <c:pt idx="278">
                  <c:v>-170.61497135256886</c:v>
                </c:pt>
                <c:pt idx="279">
                  <c:v>-170.98427081938573</c:v>
                </c:pt>
                <c:pt idx="280">
                  <c:v>-171.35242459716011</c:v>
                </c:pt>
                <c:pt idx="281">
                  <c:v>-171.7293597789139</c:v>
                </c:pt>
                <c:pt idx="282">
                  <c:v>-172.1050894759509</c:v>
                </c:pt>
                <c:pt idx="283">
                  <c:v>-172.47961534939455</c:v>
                </c:pt>
                <c:pt idx="284">
                  <c:v>-172.85293911493275</c:v>
                </c:pt>
                <c:pt idx="285">
                  <c:v>-173.23241113078387</c:v>
                </c:pt>
                <c:pt idx="286">
                  <c:v>-173.61063678447641</c:v>
                </c:pt>
                <c:pt idx="287">
                  <c:v>-173.98761806329208</c:v>
                </c:pt>
                <c:pt idx="288">
                  <c:v>-174.36335700848338</c:v>
                </c:pt>
                <c:pt idx="289">
                  <c:v>-174.74752459215736</c:v>
                </c:pt>
                <c:pt idx="290">
                  <c:v>-175.13038927361325</c:v>
                </c:pt>
                <c:pt idx="291">
                  <c:v>-175.51195342559532</c:v>
                </c:pt>
                <c:pt idx="292">
                  <c:v>-175.89221947522313</c:v>
                </c:pt>
                <c:pt idx="293">
                  <c:v>-176.27993232634117</c:v>
                </c:pt>
                <c:pt idx="294">
                  <c:v>-176.66629169406386</c:v>
                </c:pt>
                <c:pt idx="295">
                  <c:v>-177.05130034584647</c:v>
                </c:pt>
                <c:pt idx="296">
                  <c:v>-177.43496110300765</c:v>
                </c:pt>
                <c:pt idx="297">
                  <c:v>-177.82589679711481</c:v>
                </c:pt>
                <c:pt idx="298">
                  <c:v>-178.21542915189119</c:v>
                </c:pt>
                <c:pt idx="299">
                  <c:v>-178.60356134990778</c:v>
                </c:pt>
                <c:pt idx="300">
                  <c:v>-178.99029662662281</c:v>
                </c:pt>
                <c:pt idx="301">
                  <c:v>-179.38413412508072</c:v>
                </c:pt>
                <c:pt idx="302">
                  <c:v>-179.77651930667815</c:v>
                </c:pt>
                <c:pt idx="303">
                  <c:v>-180.16745578788451</c:v>
                </c:pt>
                <c:pt idx="304">
                  <c:v>-180.55694723660059</c:v>
                </c:pt>
                <c:pt idx="305">
                  <c:v>-180.95488943511683</c:v>
                </c:pt>
                <c:pt idx="306">
                  <c:v>-181.35131981871865</c:v>
                </c:pt>
                <c:pt idx="307">
                  <c:v>-181.7462425021582</c:v>
                </c:pt>
                <c:pt idx="308">
                  <c:v>-182.13966165042822</c:v>
                </c:pt>
                <c:pt idx="309">
                  <c:v>-182.53982422452808</c:v>
                </c:pt>
                <c:pt idx="310">
                  <c:v>-182.93842815791547</c:v>
                </c:pt>
                <c:pt idx="311">
                  <c:v>-183.33547803625734</c:v>
                </c:pt>
                <c:pt idx="312">
                  <c:v>-183.73097849294618</c:v>
                </c:pt>
                <c:pt idx="313">
                  <c:v>-184.1345236253444</c:v>
                </c:pt>
                <c:pt idx="314">
                  <c:v>-184.5364528221215</c:v>
                </c:pt>
                <c:pt idx="315">
                  <c:v>-184.93677120900986</c:v>
                </c:pt>
                <c:pt idx="316">
                  <c:v>-185.3354839571025</c:v>
                </c:pt>
                <c:pt idx="317">
                  <c:v>-185.74203187329101</c:v>
                </c:pt>
                <c:pt idx="318">
                  <c:v>-186.14690788929101</c:v>
                </c:pt>
                <c:pt idx="319">
                  <c:v>-186.55011769094688</c:v>
                </c:pt>
                <c:pt idx="320">
                  <c:v>-186.95166700646297</c:v>
                </c:pt>
                <c:pt idx="321">
                  <c:v>-187.36084183714885</c:v>
                </c:pt>
                <c:pt idx="322">
                  <c:v>-187.76829031480756</c:v>
                </c:pt>
                <c:pt idx="323">
                  <c:v>-188.17401870275933</c:v>
                </c:pt>
                <c:pt idx="324">
                  <c:v>-188.57803330304483</c:v>
                </c:pt>
                <c:pt idx="325">
                  <c:v>-188.98946400501063</c:v>
                </c:pt>
                <c:pt idx="326">
                  <c:v>-189.3991155840304</c:v>
                </c:pt>
                <c:pt idx="327">
                  <c:v>-189.80699489540734</c:v>
                </c:pt>
                <c:pt idx="328">
                  <c:v>-190.21310882889344</c:v>
                </c:pt>
                <c:pt idx="329">
                  <c:v>-190.6271197025425</c:v>
                </c:pt>
                <c:pt idx="330">
                  <c:v>-191.03929441286789</c:v>
                </c:pt>
                <c:pt idx="331">
                  <c:v>-191.44964045622933</c:v>
                </c:pt>
                <c:pt idx="332">
                  <c:v>-191.85816535873761</c:v>
                </c:pt>
                <c:pt idx="333">
                  <c:v>-192.27368341362592</c:v>
                </c:pt>
                <c:pt idx="334">
                  <c:v>-192.68731639193814</c:v>
                </c:pt>
                <c:pt idx="335">
                  <c:v>-193.09907240432349</c:v>
                </c:pt>
                <c:pt idx="336">
                  <c:v>-193.50895958564385</c:v>
                </c:pt>
                <c:pt idx="337">
                  <c:v>-193.92696345070624</c:v>
                </c:pt>
                <c:pt idx="338">
                  <c:v>-194.34302310853695</c:v>
                </c:pt>
                <c:pt idx="339">
                  <c:v>-194.75714737338015</c:v>
                </c:pt>
                <c:pt idx="340">
                  <c:v>-195.16934507780789</c:v>
                </c:pt>
                <c:pt idx="341">
                  <c:v>-195.58941696687549</c:v>
                </c:pt>
                <c:pt idx="342">
                  <c:v>-196.00748780539828</c:v>
                </c:pt>
                <c:pt idx="343">
                  <c:v>-196.42356712211645</c:v>
                </c:pt>
                <c:pt idx="344">
                  <c:v>-196.83766445748404</c:v>
                </c:pt>
                <c:pt idx="345">
                  <c:v>-197.25875460563549</c:v>
                </c:pt>
                <c:pt idx="346">
                  <c:v>-197.67779555671106</c:v>
                </c:pt>
                <c:pt idx="347">
                  <c:v>-198.09479751418954</c:v>
                </c:pt>
                <c:pt idx="348">
                  <c:v>-198.50977068593454</c:v>
                </c:pt>
                <c:pt idx="349">
                  <c:v>-198.93277221444765</c:v>
                </c:pt>
                <c:pt idx="350">
                  <c:v>-199.35366647587784</c:v>
                </c:pt>
                <c:pt idx="351">
                  <c:v>-199.77246444498442</c:v>
                </c:pt>
                <c:pt idx="352">
                  <c:v>-200.18917709298731</c:v>
                </c:pt>
                <c:pt idx="353">
                  <c:v>-200.61366253335476</c:v>
                </c:pt>
                <c:pt idx="354">
                  <c:v>-201.03598542328842</c:v>
                </c:pt>
                <c:pt idx="355">
                  <c:v>-201.45615751235385</c:v>
                </c:pt>
                <c:pt idx="356">
                  <c:v>-201.874190537949</c:v>
                </c:pt>
                <c:pt idx="357">
                  <c:v>-202.29914032637328</c:v>
                </c:pt>
                <c:pt idx="358">
                  <c:v>-202.72188149114052</c:v>
                </c:pt>
                <c:pt idx="359">
                  <c:v>-203.1424265025714</c:v>
                </c:pt>
                <c:pt idx="360">
                  <c:v>-203.56078780967215</c:v>
                </c:pt>
                <c:pt idx="361">
                  <c:v>-203.98701539331987</c:v>
                </c:pt>
                <c:pt idx="362">
                  <c:v>-204.41097873869879</c:v>
                </c:pt>
                <c:pt idx="363">
                  <c:v>-204.8326911384834</c:v>
                </c:pt>
                <c:pt idx="364">
                  <c:v>-205.2521658540648</c:v>
                </c:pt>
                <c:pt idx="365">
                  <c:v>-205.67866317739879</c:v>
                </c:pt>
                <c:pt idx="366">
                  <c:v>-206.10285017382176</c:v>
                </c:pt>
                <c:pt idx="367">
                  <c:v>-206.52474089579377</c:v>
                </c:pt>
                <c:pt idx="368">
                  <c:v>-206.94434935413489</c:v>
                </c:pt>
                <c:pt idx="369">
                  <c:v>-207.3718679071859</c:v>
                </c:pt>
                <c:pt idx="370">
                  <c:v>-207.79702082646247</c:v>
                </c:pt>
                <c:pt idx="371">
                  <c:v>-208.21982302922083</c:v>
                </c:pt>
                <c:pt idx="372">
                  <c:v>-208.64028937972807</c:v>
                </c:pt>
                <c:pt idx="373">
                  <c:v>-209.06783572623422</c:v>
                </c:pt>
                <c:pt idx="374">
                  <c:v>-209.49297096107787</c:v>
                </c:pt>
                <c:pt idx="375">
                  <c:v>-209.91571079467215</c:v>
                </c:pt>
                <c:pt idx="376">
                  <c:v>-210.33607087286174</c:v>
                </c:pt>
                <c:pt idx="377">
                  <c:v>-210.76433786625196</c:v>
                </c:pt>
                <c:pt idx="378">
                  <c:v>-211.19013941245788</c:v>
                </c:pt>
                <c:pt idx="379">
                  <c:v>-211.61349212235584</c:v>
                </c:pt>
                <c:pt idx="380">
                  <c:v>-212.03441252952797</c:v>
                </c:pt>
                <c:pt idx="381">
                  <c:v>-212.46189645200212</c:v>
                </c:pt>
                <c:pt idx="382">
                  <c:v>-212.88687688861148</c:v>
                </c:pt>
                <c:pt idx="383">
                  <c:v>-213.30937120511749</c:v>
                </c:pt>
                <c:pt idx="384">
                  <c:v>-213.72939667766596</c:v>
                </c:pt>
                <c:pt idx="385">
                  <c:v>-214.15728829889298</c:v>
                </c:pt>
                <c:pt idx="386">
                  <c:v>-214.58262363051688</c:v>
                </c:pt>
                <c:pt idx="387">
                  <c:v>-215.00542096487916</c:v>
                </c:pt>
                <c:pt idx="388">
                  <c:v>-215.4256984907187</c:v>
                </c:pt>
                <c:pt idx="389">
                  <c:v>-215.85304327137953</c:v>
                </c:pt>
                <c:pt idx="390">
                  <c:v>-216.27778929957569</c:v>
                </c:pt>
                <c:pt idx="391">
                  <c:v>-216.69995570388244</c:v>
                </c:pt>
                <c:pt idx="392">
                  <c:v>-217.11956149544912</c:v>
                </c:pt>
                <c:pt idx="393">
                  <c:v>-217.54596321714479</c:v>
                </c:pt>
                <c:pt idx="394">
                  <c:v>-217.9697278354929</c:v>
                </c:pt>
                <c:pt idx="395">
                  <c:v>-218.39087528578676</c:v>
                </c:pt>
                <c:pt idx="396">
                  <c:v>-218.80942537190353</c:v>
                </c:pt>
                <c:pt idx="397">
                  <c:v>-219.23546463212898</c:v>
                </c:pt>
                <c:pt idx="398">
                  <c:v>-219.65882051613065</c:v>
                </c:pt>
                <c:pt idx="399">
                  <c:v>-220.07951387310001</c:v>
                </c:pt>
                <c:pt idx="400">
                  <c:v>-220.49756540544311</c:v>
                </c:pt>
                <c:pt idx="401">
                  <c:v>-220.92234323253783</c:v>
                </c:pt>
                <c:pt idx="402">
                  <c:v>-221.34440193179535</c:v>
                </c:pt>
                <c:pt idx="403">
                  <c:v>-221.76376316131405</c:v>
                </c:pt>
                <c:pt idx="404">
                  <c:v>-222.18044841760226</c:v>
                </c:pt>
                <c:pt idx="405">
                  <c:v>-222.60404446250647</c:v>
                </c:pt>
                <c:pt idx="406">
                  <c:v>-223.02488405720297</c:v>
                </c:pt>
                <c:pt idx="407">
                  <c:v>-223.44298970228812</c:v>
                </c:pt>
                <c:pt idx="408">
                  <c:v>-223.85838372127193</c:v>
                </c:pt>
                <c:pt idx="409">
                  <c:v>-224.28085026798922</c:v>
                </c:pt>
                <c:pt idx="410">
                  <c:v>-224.70052173298504</c:v>
                </c:pt>
                <c:pt idx="411">
                  <c:v>-225.11742149185179</c:v>
                </c:pt>
                <c:pt idx="412">
                  <c:v>-225.53157272687633</c:v>
                </c:pt>
                <c:pt idx="413">
                  <c:v>-225.9525040786159</c:v>
                </c:pt>
                <c:pt idx="414">
                  <c:v>-226.37060647938563</c:v>
                </c:pt>
                <c:pt idx="415">
                  <c:v>-226.78590413632475</c:v>
                </c:pt>
                <c:pt idx="416">
                  <c:v>-227.19842104716349</c:v>
                </c:pt>
                <c:pt idx="417">
                  <c:v>-227.61785372046407</c:v>
                </c:pt>
                <c:pt idx="418">
                  <c:v>-228.03442257575955</c:v>
                </c:pt>
                <c:pt idx="419">
                  <c:v>-228.44815268018823</c:v>
                </c:pt>
                <c:pt idx="420">
                  <c:v>-228.8590688747064</c:v>
                </c:pt>
                <c:pt idx="421">
                  <c:v>-229.27619740069872</c:v>
                </c:pt>
                <c:pt idx="422">
                  <c:v>-229.69043784064266</c:v>
                </c:pt>
                <c:pt idx="423">
                  <c:v>-230.10181599641558</c:v>
                </c:pt>
                <c:pt idx="424">
                  <c:v>-230.51035742816038</c:v>
                </c:pt>
                <c:pt idx="425">
                  <c:v>-230.92603574379365</c:v>
                </c:pt>
                <c:pt idx="426">
                  <c:v>-231.33878957068472</c:v>
                </c:pt>
                <c:pt idx="427">
                  <c:v>-231.74864562251645</c:v>
                </c:pt>
                <c:pt idx="428">
                  <c:v>-232.15563035317166</c:v>
                </c:pt>
                <c:pt idx="429">
                  <c:v>-232.56905395194804</c:v>
                </c:pt>
                <c:pt idx="430">
                  <c:v>-232.97952749708588</c:v>
                </c:pt>
                <c:pt idx="431">
                  <c:v>-233.38707848229379</c:v>
                </c:pt>
                <c:pt idx="432">
                  <c:v>-233.79173412479798</c:v>
                </c:pt>
                <c:pt idx="433">
                  <c:v>-234.20254288722344</c:v>
                </c:pt>
                <c:pt idx="434">
                  <c:v>-234.61038102355812</c:v>
                </c:pt>
                <c:pt idx="435">
                  <c:v>-235.0152767501782</c:v>
                </c:pt>
                <c:pt idx="436">
                  <c:v>-235.41725799083267</c:v>
                </c:pt>
                <c:pt idx="437">
                  <c:v>-235.82584574478594</c:v>
                </c:pt>
                <c:pt idx="438">
                  <c:v>-236.2314364999165</c:v>
                </c:pt>
                <c:pt idx="439">
                  <c:v>-236.6340592911703</c:v>
                </c:pt>
                <c:pt idx="440">
                  <c:v>-237.03374284314748</c:v>
                </c:pt>
                <c:pt idx="441">
                  <c:v>-237.43973317011751</c:v>
                </c:pt>
                <c:pt idx="442">
                  <c:v>-237.84270546124694</c:v>
                </c:pt>
                <c:pt idx="443">
                  <c:v>-238.24268950746847</c:v>
                </c:pt>
                <c:pt idx="444">
                  <c:v>-238.63971477227111</c:v>
                </c:pt>
                <c:pt idx="445">
                  <c:v>-239.04275675084918</c:v>
                </c:pt>
                <c:pt idx="446">
                  <c:v>-239.44276487900186</c:v>
                </c:pt>
                <c:pt idx="447">
                  <c:v>-239.83976963909856</c:v>
                </c:pt>
                <c:pt idx="448">
                  <c:v>-240.23380116969238</c:v>
                </c:pt>
                <c:pt idx="449">
                  <c:v>-240.6342367891329</c:v>
                </c:pt>
                <c:pt idx="450">
                  <c:v>-241.0316176668093</c:v>
                </c:pt>
                <c:pt idx="451">
                  <c:v>-241.4259750664049</c:v>
                </c:pt>
                <c:pt idx="452">
                  <c:v>-241.81733988982583</c:v>
                </c:pt>
                <c:pt idx="453">
                  <c:v>-242.2144843266731</c:v>
                </c:pt>
                <c:pt idx="454">
                  <c:v>-242.60856364821296</c:v>
                </c:pt>
                <c:pt idx="455">
                  <c:v>-242.99960975157887</c:v>
                </c:pt>
                <c:pt idx="456">
                  <c:v>-243.38765415621549</c:v>
                </c:pt>
                <c:pt idx="457">
                  <c:v>-243.78183059066603</c:v>
                </c:pt>
                <c:pt idx="458">
                  <c:v>-244.17292682264181</c:v>
                </c:pt>
                <c:pt idx="459">
                  <c:v>-244.56097546846235</c:v>
                </c:pt>
                <c:pt idx="460">
                  <c:v>-244.94600874927977</c:v>
                </c:pt>
                <c:pt idx="461">
                  <c:v>-245.33687983418466</c:v>
                </c:pt>
                <c:pt idx="462">
                  <c:v>-245.72466113342819</c:v>
                </c:pt>
                <c:pt idx="463">
                  <c:v>-246.10938590863336</c:v>
                </c:pt>
                <c:pt idx="464">
                  <c:v>-246.4910870097325</c:v>
                </c:pt>
                <c:pt idx="465">
                  <c:v>-246.87863727779464</c:v>
                </c:pt>
                <c:pt idx="466">
                  <c:v>-247.26308880018883</c:v>
                </c:pt>
                <c:pt idx="467">
                  <c:v>-247.64447548628024</c:v>
                </c:pt>
                <c:pt idx="468">
                  <c:v>-248.02283081695361</c:v>
                </c:pt>
                <c:pt idx="469">
                  <c:v>-248.40674895364808</c:v>
                </c:pt>
                <c:pt idx="470">
                  <c:v>-248.78756482255704</c:v>
                </c:pt>
                <c:pt idx="471">
                  <c:v>-249.16531290352745</c:v>
                </c:pt>
                <c:pt idx="472">
                  <c:v>-249.54002723221507</c:v>
                </c:pt>
                <c:pt idx="473">
                  <c:v>-249.92058175878711</c:v>
                </c:pt>
                <c:pt idx="474">
                  <c:v>-250.29802672026884</c:v>
                </c:pt>
                <c:pt idx="475">
                  <c:v>-250.67239724193124</c:v>
                </c:pt>
                <c:pt idx="476">
                  <c:v>-251.04372798761742</c:v>
                </c:pt>
                <c:pt idx="477">
                  <c:v>-251.42060824577527</c:v>
                </c:pt>
                <c:pt idx="478">
                  <c:v>-251.79437727153052</c:v>
                </c:pt>
                <c:pt idx="479">
                  <c:v>-252.16507075315477</c:v>
                </c:pt>
                <c:pt idx="480">
                  <c:v>-252.5327239014336</c:v>
                </c:pt>
                <c:pt idx="481">
                  <c:v>-252.90564774985262</c:v>
                </c:pt>
                <c:pt idx="482">
                  <c:v>-253.27546410350047</c:v>
                </c:pt>
                <c:pt idx="483">
                  <c:v>-253.64220913118322</c:v>
                </c:pt>
                <c:pt idx="484">
                  <c:v>-254.00591850940026</c:v>
                </c:pt>
                <c:pt idx="485">
                  <c:v>-254.3748817093385</c:v>
                </c:pt>
                <c:pt idx="486">
                  <c:v>-254.74074211758193</c:v>
                </c:pt>
                <c:pt idx="487">
                  <c:v>-255.10353637577492</c:v>
                </c:pt>
                <c:pt idx="488">
                  <c:v>-255.46330061834868</c:v>
                </c:pt>
                <c:pt idx="489">
                  <c:v>-255.8285345519129</c:v>
                </c:pt>
                <c:pt idx="490">
                  <c:v>-256.19066742562285</c:v>
                </c:pt>
                <c:pt idx="491">
                  <c:v>-256.54973641686269</c:v>
                </c:pt>
                <c:pt idx="492">
                  <c:v>-256.90577817946638</c:v>
                </c:pt>
                <c:pt idx="493">
                  <c:v>-257.26700946571623</c:v>
                </c:pt>
                <c:pt idx="494">
                  <c:v>-257.62514699780695</c:v>
                </c:pt>
                <c:pt idx="495">
                  <c:v>-257.9802283993543</c:v>
                </c:pt>
                <c:pt idx="496">
                  <c:v>-258.33229075547052</c:v>
                </c:pt>
                <c:pt idx="497">
                  <c:v>-258.68950082529284</c:v>
                </c:pt>
                <c:pt idx="498">
                  <c:v>-259.04362585476514</c:v>
                </c:pt>
                <c:pt idx="499">
                  <c:v>-259.39470389695043</c:v>
                </c:pt>
                <c:pt idx="500">
                  <c:v>-259.74277245149034</c:v>
                </c:pt>
                <c:pt idx="501">
                  <c:v>-260.09594005196425</c:v>
                </c:pt>
                <c:pt idx="502">
                  <c:v>-260.44603285607553</c:v>
                </c:pt>
                <c:pt idx="503">
                  <c:v>-260.79308932652708</c:v>
                </c:pt>
                <c:pt idx="504">
                  <c:v>-261.13714735776188</c:v>
                </c:pt>
                <c:pt idx="505">
                  <c:v>-261.48603896261494</c:v>
                </c:pt>
                <c:pt idx="506">
                  <c:v>-261.83187134113507</c:v>
                </c:pt>
                <c:pt idx="507">
                  <c:v>-262.17468327279636</c:v>
                </c:pt>
                <c:pt idx="508">
                  <c:v>-262.51451295550385</c:v>
                </c:pt>
                <c:pt idx="509">
                  <c:v>-262.85912687095384</c:v>
                </c:pt>
                <c:pt idx="510">
                  <c:v>-263.20069856334385</c:v>
                </c:pt>
                <c:pt idx="511">
                  <c:v>-263.53926710663467</c:v>
                </c:pt>
                <c:pt idx="512">
                  <c:v>-263.87487098006807</c:v>
                </c:pt>
                <c:pt idx="513">
                  <c:v>-264.21540088090785</c:v>
                </c:pt>
                <c:pt idx="514">
                  <c:v>-264.5529035980212</c:v>
                </c:pt>
                <c:pt idx="515">
                  <c:v>-264.88741854269097</c:v>
                </c:pt>
                <c:pt idx="516">
                  <c:v>-265.21898451714208</c:v>
                </c:pt>
                <c:pt idx="517">
                  <c:v>-265.55521770183498</c:v>
                </c:pt>
                <c:pt idx="518">
                  <c:v>-265.88844400381544</c:v>
                </c:pt>
                <c:pt idx="519">
                  <c:v>-266.21870307349053</c:v>
                </c:pt>
                <c:pt idx="520">
                  <c:v>-266.54603393955779</c:v>
                </c:pt>
                <c:pt idx="521">
                  <c:v>-266.87796908122579</c:v>
                </c:pt>
                <c:pt idx="522">
                  <c:v>-267.20691927948019</c:v>
                </c:pt>
                <c:pt idx="523">
                  <c:v>-267.53292439348672</c:v>
                </c:pt>
                <c:pt idx="524">
                  <c:v>-267.85602364836956</c:v>
                </c:pt>
                <c:pt idx="525">
                  <c:v>-268.18366089300883</c:v>
                </c:pt>
                <c:pt idx="526">
                  <c:v>-268.50833681109322</c:v>
                </c:pt>
                <c:pt idx="527">
                  <c:v>-268.83009143772108</c:v>
                </c:pt>
                <c:pt idx="528">
                  <c:v>-269.14896416199247</c:v>
                </c:pt>
                <c:pt idx="529">
                  <c:v>-269.47230578815362</c:v>
                </c:pt>
                <c:pt idx="530">
                  <c:v>-269.79271140617129</c:v>
                </c:pt>
                <c:pt idx="531">
                  <c:v>-270.11022119193461</c:v>
                </c:pt>
                <c:pt idx="532">
                  <c:v>-270.42487466381243</c:v>
                </c:pt>
                <c:pt idx="533">
                  <c:v>-270.74408962698845</c:v>
                </c:pt>
                <c:pt idx="534">
                  <c:v>-271.06039262730496</c:v>
                </c:pt>
                <c:pt idx="535">
                  <c:v>-271.37382400604719</c:v>
                </c:pt>
                <c:pt idx="536">
                  <c:v>-271.68442343458514</c:v>
                </c:pt>
                <c:pt idx="537">
                  <c:v>-271.99918618620632</c:v>
                </c:pt>
                <c:pt idx="538">
                  <c:v>-272.31106877321594</c:v>
                </c:pt>
                <c:pt idx="539">
                  <c:v>-272.62011153787734</c:v>
                </c:pt>
                <c:pt idx="540">
                  <c:v>-272.92635414346188</c:v>
                </c:pt>
                <c:pt idx="541">
                  <c:v>-273.23699897093894</c:v>
                </c:pt>
                <c:pt idx="542">
                  <c:v>-273.54479125647646</c:v>
                </c:pt>
                <c:pt idx="543">
                  <c:v>-273.84977142484161</c:v>
                </c:pt>
                <c:pt idx="544">
                  <c:v>-274.15197921060951</c:v>
                </c:pt>
                <c:pt idx="545">
                  <c:v>-274.45835865114992</c:v>
                </c:pt>
                <c:pt idx="546">
                  <c:v>-274.76191778337835</c:v>
                </c:pt>
                <c:pt idx="547">
                  <c:v>-275.06269701009364</c:v>
                </c:pt>
                <c:pt idx="548">
                  <c:v>-275.3607360347674</c:v>
                </c:pt>
                <c:pt idx="549">
                  <c:v>-275.66287085335688</c:v>
                </c:pt>
                <c:pt idx="550">
                  <c:v>-275.96221918976022</c:v>
                </c:pt>
                <c:pt idx="551">
                  <c:v>-276.25882138103754</c:v>
                </c:pt>
                <c:pt idx="552">
                  <c:v>-276.55271705652746</c:v>
                </c:pt>
                <c:pt idx="553">
                  <c:v>-276.8507689788126</c:v>
                </c:pt>
                <c:pt idx="554">
                  <c:v>-277.1460672605042</c:v>
                </c:pt>
                <c:pt idx="555">
                  <c:v>-277.43865218322281</c:v>
                </c:pt>
                <c:pt idx="556">
                  <c:v>-277.72856331196721</c:v>
                </c:pt>
                <c:pt idx="557">
                  <c:v>-278.31381243086253</c:v>
                </c:pt>
                <c:pt idx="558">
                  <c:v>-278.8883451553163</c:v>
                </c:pt>
                <c:pt idx="559">
                  <c:v>-279.46528533130157</c:v>
                </c:pt>
                <c:pt idx="560">
                  <c:v>-280.03166224528803</c:v>
                </c:pt>
                <c:pt idx="561">
                  <c:v>-280.60085947150304</c:v>
                </c:pt>
                <c:pt idx="562">
                  <c:v>-281.15963379632683</c:v>
                </c:pt>
                <c:pt idx="563">
                  <c:v>-281.71996022923122</c:v>
                </c:pt>
                <c:pt idx="564">
                  <c:v>-282.27005276550511</c:v>
                </c:pt>
                <c:pt idx="565">
                  <c:v>-282.82370946747722</c:v>
                </c:pt>
                <c:pt idx="566">
                  <c:v>-283.36724908351329</c:v>
                </c:pt>
                <c:pt idx="567">
                  <c:v>-283.91398060301646</c:v>
                </c:pt>
                <c:pt idx="568">
                  <c:v>-284.45072836094397</c:v>
                </c:pt>
                <c:pt idx="569">
                  <c:v>-284.98824117021201</c:v>
                </c:pt>
                <c:pt idx="570">
                  <c:v>-285.5159936560101</c:v>
                </c:pt>
                <c:pt idx="571">
                  <c:v>-286.04838113904725</c:v>
                </c:pt>
                <c:pt idx="572">
                  <c:v>-286.57109112708451</c:v>
                </c:pt>
                <c:pt idx="573">
                  <c:v>-287.09412960639497</c:v>
                </c:pt>
                <c:pt idx="574">
                  <c:v>-287.60773193707325</c:v>
                </c:pt>
                <c:pt idx="575">
                  <c:v>-288.12529503842256</c:v>
                </c:pt>
                <c:pt idx="576">
                  <c:v>-288.63353091662486</c:v>
                </c:pt>
                <c:pt idx="577">
                  <c:v>-290.68833678015449</c:v>
                </c:pt>
                <c:pt idx="578">
                  <c:v>-292.60080429032251</c:v>
                </c:pt>
                <c:pt idx="579">
                  <c:v>-296.37255038219763</c:v>
                </c:pt>
                <c:pt idx="580">
                  <c:v>-299.97726792330604</c:v>
                </c:pt>
                <c:pt idx="581">
                  <c:v>-303.43028250047172</c:v>
                </c:pt>
                <c:pt idx="582">
                  <c:v>-306.75144409542656</c:v>
                </c:pt>
                <c:pt idx="583">
                  <c:v>-309.95191949918836</c:v>
                </c:pt>
                <c:pt idx="584">
                  <c:v>-313.04331581373202</c:v>
                </c:pt>
                <c:pt idx="585">
                  <c:v>-316.02869432961324</c:v>
                </c:pt>
                <c:pt idx="586">
                  <c:v>-318.90959732399176</c:v>
                </c:pt>
                <c:pt idx="587">
                  <c:v>-321.68560017083206</c:v>
                </c:pt>
                <c:pt idx="588">
                  <c:v>-324.35019128523135</c:v>
                </c:pt>
                <c:pt idx="589">
                  <c:v>-326.90072593057533</c:v>
                </c:pt>
                <c:pt idx="590">
                  <c:v>-329.33133796538971</c:v>
                </c:pt>
                <c:pt idx="591">
                  <c:v>-331.63807203919913</c:v>
                </c:pt>
                <c:pt idx="592">
                  <c:v>-333.81764586718401</c:v>
                </c:pt>
                <c:pt idx="593">
                  <c:v>-335.86917667283143</c:v>
                </c:pt>
                <c:pt idx="594">
                  <c:v>-337.79215010107362</c:v>
                </c:pt>
                <c:pt idx="595">
                  <c:v>-339.58849783084349</c:v>
                </c:pt>
                <c:pt idx="596">
                  <c:v>-341.26073955088066</c:v>
                </c:pt>
                <c:pt idx="597">
                  <c:v>-342.81323589609428</c:v>
                </c:pt>
                <c:pt idx="598">
                  <c:v>-344.25048890964916</c:v>
                </c:pt>
                <c:pt idx="599">
                  <c:v>-345.57838944644607</c:v>
                </c:pt>
                <c:pt idx="600">
                  <c:v>-346.80266191557973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55-41F1-84E2-E768F8DC0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18368"/>
        <c:axId val="159237248"/>
      </c:scatterChart>
      <c:valAx>
        <c:axId val="159014272"/>
        <c:scaling>
          <c:logBase val="10"/>
          <c:orientation val="minMax"/>
          <c:max val="100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2857142857142855"/>
              <c:y val="0.883611403413284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016448"/>
        <c:crossesAt val="-40"/>
        <c:crossBetween val="midCat"/>
        <c:majorUnit val="10"/>
        <c:minorUnit val="10"/>
      </c:valAx>
      <c:valAx>
        <c:axId val="159016448"/>
        <c:scaling>
          <c:orientation val="minMax"/>
          <c:max val="80"/>
          <c:min val="-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Gain (dB)</a:t>
                </a:r>
              </a:p>
            </c:rich>
          </c:tx>
          <c:layout>
            <c:manualLayout>
              <c:xMode val="edge"/>
              <c:yMode val="edge"/>
              <c:x val="1.5549076773566581E-2"/>
              <c:y val="0.392716233051513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014272"/>
        <c:crossesAt val="0.1"/>
        <c:crossBetween val="midCat"/>
        <c:majorUnit val="20"/>
        <c:minorUnit val="4"/>
      </c:valAx>
      <c:valAx>
        <c:axId val="159018368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159237248"/>
        <c:crossesAt val="0"/>
        <c:crossBetween val="midCat"/>
      </c:valAx>
      <c:valAx>
        <c:axId val="159237248"/>
        <c:scaling>
          <c:orientation val="minMax"/>
          <c:max val="0"/>
          <c:min val="-270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Phase (°)</a:t>
                </a:r>
              </a:p>
            </c:rich>
          </c:tx>
          <c:layout>
            <c:manualLayout>
              <c:xMode val="edge"/>
              <c:yMode val="edge"/>
              <c:x val="0.96550048590864856"/>
              <c:y val="0.3982582822308516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018368"/>
        <c:crosses val="max"/>
        <c:crossBetween val="midCat"/>
        <c:majorUnit val="45"/>
        <c:minorUnit val="22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67" r="0.75000000000000167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22" fmlaRange="$1:$1048576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6" fmlaLink="$E$71" max="100" min="1" page="10" val="7"/>
</file>

<file path=xl/ctrlProps/ctrlProp5.xml><?xml version="1.0" encoding="utf-8"?>
<formControlPr xmlns="http://schemas.microsoft.com/office/spreadsheetml/2009/9/main" objectType="Spin" dx="16" fmlaLink="$E$7" max="58" page="10" val="12"/>
</file>

<file path=xl/ctrlProps/ctrlProp6.xml><?xml version="1.0" encoding="utf-8"?>
<formControlPr xmlns="http://schemas.microsoft.com/office/spreadsheetml/2009/9/main" objectType="Drop" dropLines="2" dropStyle="combo" dx="16" fmlaLink="'Variable Management'!$L$10" fmlaRange="'Variable Management'!$K$8:$K$9" noThreeD="1" sel="1" val="0"/>
</file>

<file path=xl/ctrlProps/ctrlProp7.xml><?xml version="1.0" encoding="utf-8"?>
<formControlPr xmlns="http://schemas.microsoft.com/office/spreadsheetml/2009/9/main" objectType="Drop" dropLines="2" dropStyle="combo" dx="16" fmlaLink="'Variable Management'!$O$10" fmlaRange="'Variable Management'!$M$8:$M$9" noThreeD="1" sel="2" val="0"/>
</file>

<file path=xl/ctrlProps/ctrlProp8.xml><?xml version="1.0" encoding="utf-8"?>
<formControlPr xmlns="http://schemas.microsoft.com/office/spreadsheetml/2009/9/main" objectType="Spin" dx="16" fmlaLink="$E$7" max="58" page="10" val="12"/>
</file>

<file path=xl/ctrlProps/ctrlProp9.xml><?xml version="1.0" encoding="utf-8"?>
<formControlPr xmlns="http://schemas.microsoft.com/office/spreadsheetml/2009/9/main" objectType="Spin" dx="16" fmlaLink="$E$7" max="58" page="10" val="1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6" Type="http://schemas.openxmlformats.org/officeDocument/2006/relationships/image" Target="../media/image5.emf"/><Relationship Id="rId5" Type="http://schemas.openxmlformats.org/officeDocument/2006/relationships/image" Target="../media/image4.jpg"/><Relationship Id="rId4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ti.com/corp/docs/legal/copyright.shtml" TargetMode="External"/><Relationship Id="rId2" Type="http://schemas.openxmlformats.org/officeDocument/2006/relationships/image" Target="../media/image11.gif"/><Relationship Id="rId1" Type="http://schemas.openxmlformats.org/officeDocument/2006/relationships/hyperlink" Target="http://www.ti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3" Type="http://schemas.openxmlformats.org/officeDocument/2006/relationships/image" Target="../media/image14.jpg"/><Relationship Id="rId7" Type="http://schemas.openxmlformats.org/officeDocument/2006/relationships/image" Target="../media/image18.jpg"/><Relationship Id="rId12" Type="http://schemas.openxmlformats.org/officeDocument/2006/relationships/image" Target="../media/image23.jpg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jpg"/><Relationship Id="rId11" Type="http://schemas.openxmlformats.org/officeDocument/2006/relationships/image" Target="../media/image22.jpg"/><Relationship Id="rId5" Type="http://schemas.openxmlformats.org/officeDocument/2006/relationships/image" Target="../media/image16.jpg"/><Relationship Id="rId10" Type="http://schemas.openxmlformats.org/officeDocument/2006/relationships/image" Target="../media/image21.jpg"/><Relationship Id="rId4" Type="http://schemas.openxmlformats.org/officeDocument/2006/relationships/image" Target="../media/image15.jpg"/><Relationship Id="rId9" Type="http://schemas.openxmlformats.org/officeDocument/2006/relationships/image" Target="../media/image20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11</xdr:row>
          <xdr:rowOff>66675</xdr:rowOff>
        </xdr:from>
        <xdr:to>
          <xdr:col>7</xdr:col>
          <xdr:colOff>95250</xdr:colOff>
          <xdr:row>13</xdr:row>
          <xdr:rowOff>47625</xdr:rowOff>
        </xdr:to>
        <xdr:sp macro="" textlink="">
          <xdr:nvSpPr>
            <xdr:cNvPr id="673660" name="Drop Down 892" hidden="1">
              <a:extLst>
                <a:ext uri="{63B3BB69-23CF-44E3-9099-C40C66FF867C}">
                  <a14:compatExt spid="_x0000_s673660"/>
                </a:ext>
                <a:ext uri="{FF2B5EF4-FFF2-40B4-BE49-F238E27FC236}">
                  <a16:creationId xmlns:a16="http://schemas.microsoft.com/office/drawing/2014/main" id="{00000000-0008-0000-0000-00007C4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1360848</xdr:colOff>
      <xdr:row>0</xdr:row>
      <xdr:rowOff>108713</xdr:rowOff>
    </xdr:from>
    <xdr:to>
      <xdr:col>16</xdr:col>
      <xdr:colOff>2417480</xdr:colOff>
      <xdr:row>2</xdr:row>
      <xdr:rowOff>124979</xdr:rowOff>
    </xdr:to>
    <xdr:pic macro="[0]!OpenLM27403ProductFolder">
      <xdr:nvPicPr>
        <xdr:cNvPr id="70" name="Pictur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0098" y="108713"/>
          <a:ext cx="1056632" cy="8322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77</xdr:row>
          <xdr:rowOff>76200</xdr:rowOff>
        </xdr:from>
        <xdr:to>
          <xdr:col>2</xdr:col>
          <xdr:colOff>895350</xdr:colOff>
          <xdr:row>79</xdr:row>
          <xdr:rowOff>133350</xdr:rowOff>
        </xdr:to>
        <xdr:sp macro="" textlink="">
          <xdr:nvSpPr>
            <xdr:cNvPr id="673260" name="Button 492" hidden="1">
              <a:extLst>
                <a:ext uri="{63B3BB69-23CF-44E3-9099-C40C66FF867C}">
                  <a14:compatExt spid="_x0000_s673260"/>
                </a:ext>
                <a:ext uri="{FF2B5EF4-FFF2-40B4-BE49-F238E27FC236}">
                  <a16:creationId xmlns:a16="http://schemas.microsoft.com/office/drawing/2014/main" id="{00000000-0008-0000-0000-0000EC4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VALUES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77</xdr:row>
          <xdr:rowOff>76200</xdr:rowOff>
        </xdr:from>
        <xdr:to>
          <xdr:col>2</xdr:col>
          <xdr:colOff>895350</xdr:colOff>
          <xdr:row>79</xdr:row>
          <xdr:rowOff>133350</xdr:rowOff>
        </xdr:to>
        <xdr:sp macro="" textlink="">
          <xdr:nvSpPr>
            <xdr:cNvPr id="673288" name="Button 520" hidden="1">
              <a:extLst>
                <a:ext uri="{63B3BB69-23CF-44E3-9099-C40C66FF867C}">
                  <a14:compatExt spid="_x0000_s673288"/>
                </a:ext>
                <a:ext uri="{FF2B5EF4-FFF2-40B4-BE49-F238E27FC236}">
                  <a16:creationId xmlns:a16="http://schemas.microsoft.com/office/drawing/2014/main" id="{00000000-0008-0000-0000-00000846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VALUES</a:t>
              </a:r>
            </a:p>
          </xdr:txBody>
        </xdr:sp>
        <xdr:clientData fLocksWithSheet="0" fPrintsWithSheet="0"/>
      </xdr:twoCellAnchor>
    </mc:Choice>
    <mc:Fallback/>
  </mc:AlternateContent>
  <xdr:twoCellAnchor editAs="absolute">
    <xdr:from>
      <xdr:col>6</xdr:col>
      <xdr:colOff>266700</xdr:colOff>
      <xdr:row>45</xdr:row>
      <xdr:rowOff>70486</xdr:rowOff>
    </xdr:from>
    <xdr:to>
      <xdr:col>16</xdr:col>
      <xdr:colOff>2352675</xdr:colOff>
      <xdr:row>74</xdr:row>
      <xdr:rowOff>27321</xdr:rowOff>
    </xdr:to>
    <xdr:graphicFrame macro="">
      <xdr:nvGraphicFramePr>
        <xdr:cNvPr id="65" name="Chart 12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190500</xdr:colOff>
          <xdr:row>84</xdr:row>
          <xdr:rowOff>60876</xdr:rowOff>
        </xdr:from>
        <xdr:to>
          <xdr:col>16</xdr:col>
          <xdr:colOff>2468096</xdr:colOff>
          <xdr:row>112</xdr:row>
          <xdr:rowOff>151644</xdr:rowOff>
        </xdr:to>
        <xdr:pic>
          <xdr:nvPicPr>
            <xdr:cNvPr id="72" name="Picture 8888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" spid="_x0000_s67368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505325" y="16139076"/>
              <a:ext cx="8449796" cy="5253318"/>
            </a:xfrm>
            <a:prstGeom prst="rect">
              <a:avLst/>
            </a:prstGeom>
            <a:noFill/>
            <a:ln w="1587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392728</xdr:colOff>
      <xdr:row>64</xdr:row>
      <xdr:rowOff>4766</xdr:rowOff>
    </xdr:from>
    <xdr:to>
      <xdr:col>10</xdr:col>
      <xdr:colOff>361950</xdr:colOff>
      <xdr:row>65</xdr:row>
      <xdr:rowOff>14928</xdr:rowOff>
    </xdr:to>
    <xdr:sp macro="" textlink="'Variable Management'!A453">
      <xdr:nvSpPr>
        <xdr:cNvPr id="2071" name="Text Box 23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 noTextEdit="1"/>
        </xdr:cNvSpPr>
      </xdr:nvSpPr>
      <xdr:spPr bwMode="auto">
        <a:xfrm>
          <a:off x="4700959" y="12057554"/>
          <a:ext cx="2196606" cy="200662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fld id="{10952A97-D9C5-44B7-89A3-65441574648A}" type="TxLink">
            <a:rPr lang="en-US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Crossover Frequency = 6.8 kHz</a:t>
          </a:fld>
          <a:endParaRPr lang="en-US" sz="1100" b="1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422779</xdr:colOff>
      <xdr:row>65</xdr:row>
      <xdr:rowOff>162115</xdr:rowOff>
    </xdr:from>
    <xdr:to>
      <xdr:col>9</xdr:col>
      <xdr:colOff>457199</xdr:colOff>
      <xdr:row>66</xdr:row>
      <xdr:rowOff>201318</xdr:rowOff>
    </xdr:to>
    <xdr:sp macro="" textlink="'Variable Management'!A454">
      <xdr:nvSpPr>
        <xdr:cNvPr id="2072" name="Text Box 24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 noTextEdit="1"/>
        </xdr:cNvSpPr>
      </xdr:nvSpPr>
      <xdr:spPr bwMode="auto">
        <a:xfrm>
          <a:off x="4731010" y="12405403"/>
          <a:ext cx="1433862" cy="207723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fld id="{95DD25AA-EC3B-4C80-B80E-8DC148525216}" type="TxLink">
            <a:rPr lang="en-US" sz="1100" b="1" i="0" u="none" strike="noStrike" baseline="0">
              <a:solidFill>
                <a:srgbClr val="002060"/>
              </a:solidFill>
              <a:latin typeface="Arial"/>
              <a:cs typeface="Arial"/>
            </a:rPr>
            <a:pPr algn="l" rtl="0">
              <a:defRPr sz="1000"/>
            </a:pPr>
            <a:t>Phase Margin = 58°</a:t>
          </a:fld>
          <a:endParaRPr lang="en-US" sz="1100" b="1" i="0" u="none" strike="noStrike" baseline="0">
            <a:solidFill>
              <a:srgbClr val="00206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70</xdr:row>
          <xdr:rowOff>0</xdr:rowOff>
        </xdr:from>
        <xdr:to>
          <xdr:col>5</xdr:col>
          <xdr:colOff>180975</xdr:colOff>
          <xdr:row>70</xdr:row>
          <xdr:rowOff>180975</xdr:rowOff>
        </xdr:to>
        <xdr:sp macro="" textlink="">
          <xdr:nvSpPr>
            <xdr:cNvPr id="672829" name="Spinner 61" hidden="1">
              <a:extLst>
                <a:ext uri="{63B3BB69-23CF-44E3-9099-C40C66FF867C}">
                  <a14:compatExt spid="_x0000_s672829"/>
                </a:ext>
                <a:ext uri="{FF2B5EF4-FFF2-40B4-BE49-F238E27FC236}">
                  <a16:creationId xmlns:a16="http://schemas.microsoft.com/office/drawing/2014/main" id="{00000000-0008-0000-0000-00003D4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6</xdr:row>
          <xdr:rowOff>9525</xdr:rowOff>
        </xdr:from>
        <xdr:to>
          <xdr:col>5</xdr:col>
          <xdr:colOff>304800</xdr:colOff>
          <xdr:row>7</xdr:row>
          <xdr:rowOff>19050</xdr:rowOff>
        </xdr:to>
        <xdr:sp macro="" textlink="">
          <xdr:nvSpPr>
            <xdr:cNvPr id="672895" name="Spinner 127" hidden="1">
              <a:extLst>
                <a:ext uri="{63B3BB69-23CF-44E3-9099-C40C66FF867C}">
                  <a14:compatExt spid="_x0000_s672895"/>
                </a:ext>
                <a:ext uri="{FF2B5EF4-FFF2-40B4-BE49-F238E27FC236}">
                  <a16:creationId xmlns:a16="http://schemas.microsoft.com/office/drawing/2014/main" id="{00000000-0008-0000-0000-00007F4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58613</xdr:colOff>
      <xdr:row>0</xdr:row>
      <xdr:rowOff>29308</xdr:rowOff>
    </xdr:from>
    <xdr:to>
      <xdr:col>3</xdr:col>
      <xdr:colOff>331909</xdr:colOff>
      <xdr:row>0</xdr:row>
      <xdr:rowOff>567964</xdr:rowOff>
    </xdr:to>
    <xdr:pic macro="[0]!OpenLM27403ProductFolder"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96" b="8304"/>
        <a:stretch/>
      </xdr:blipFill>
      <xdr:spPr>
        <a:xfrm>
          <a:off x="58613" y="29308"/>
          <a:ext cx="2283071" cy="538656"/>
        </a:xfrm>
        <a:prstGeom prst="rect">
          <a:avLst/>
        </a:prstGeom>
      </xdr:spPr>
    </xdr:pic>
    <xdr:clientData/>
  </xdr:twoCellAnchor>
  <xdr:twoCellAnchor editAs="oneCell">
    <xdr:from>
      <xdr:col>16</xdr:col>
      <xdr:colOff>1372551</xdr:colOff>
      <xdr:row>0</xdr:row>
      <xdr:rowOff>89535</xdr:rowOff>
    </xdr:from>
    <xdr:to>
      <xdr:col>16</xdr:col>
      <xdr:colOff>2433255</xdr:colOff>
      <xdr:row>2</xdr:row>
      <xdr:rowOff>103756</xdr:rowOff>
    </xdr:to>
    <xdr:pic macro="[0]!OpenLM27403ProductFolder"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2471" y="89535"/>
          <a:ext cx="1060704" cy="8219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219075</xdr:colOff>
          <xdr:row>83</xdr:row>
          <xdr:rowOff>66675</xdr:rowOff>
        </xdr:from>
        <xdr:to>
          <xdr:col>9</xdr:col>
          <xdr:colOff>200025</xdr:colOff>
          <xdr:row>84</xdr:row>
          <xdr:rowOff>57150</xdr:rowOff>
        </xdr:to>
        <xdr:sp macro="" textlink="">
          <xdr:nvSpPr>
            <xdr:cNvPr id="672924" name="Drop Down 156" hidden="1">
              <a:extLst>
                <a:ext uri="{63B3BB69-23CF-44E3-9099-C40C66FF867C}">
                  <a14:compatExt spid="_x0000_s672924"/>
                </a:ext>
                <a:ext uri="{FF2B5EF4-FFF2-40B4-BE49-F238E27FC236}">
                  <a16:creationId xmlns:a16="http://schemas.microsoft.com/office/drawing/2014/main" id="{00000000-0008-0000-0000-00009C4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942415</xdr:colOff>
      <xdr:row>88</xdr:row>
      <xdr:rowOff>24932</xdr:rowOff>
    </xdr:from>
    <xdr:to>
      <xdr:col>16</xdr:col>
      <xdr:colOff>1364358</xdr:colOff>
      <xdr:row>89</xdr:row>
      <xdr:rowOff>72557</xdr:rowOff>
    </xdr:to>
    <xdr:sp macro="" textlink="'Variable Management'!$B$457">
      <xdr:nvSpPr>
        <xdr:cNvPr id="73" name="Text Box 24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1429440" y="16922282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F0AFB1C-0795-4024-9821-D34D86340D40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97.8%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12</xdr:col>
      <xdr:colOff>580465</xdr:colOff>
      <xdr:row>88</xdr:row>
      <xdr:rowOff>24932</xdr:rowOff>
    </xdr:from>
    <xdr:to>
      <xdr:col>13</xdr:col>
      <xdr:colOff>392808</xdr:colOff>
      <xdr:row>89</xdr:row>
      <xdr:rowOff>72557</xdr:rowOff>
    </xdr:to>
    <xdr:sp macro="" textlink="'Variable Management'!$B$458">
      <xdr:nvSpPr>
        <xdr:cNvPr id="74" name="Text Box 24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562415" y="16922282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7D4567B-D519-4FF8-A1F3-102CF08055AD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98%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</xdr:col>
      <xdr:colOff>151840</xdr:colOff>
      <xdr:row>88</xdr:row>
      <xdr:rowOff>24932</xdr:rowOff>
    </xdr:from>
    <xdr:to>
      <xdr:col>8</xdr:col>
      <xdr:colOff>573783</xdr:colOff>
      <xdr:row>89</xdr:row>
      <xdr:rowOff>72557</xdr:rowOff>
    </xdr:to>
    <xdr:sp macro="" textlink="'Variable Management'!$B$456">
      <xdr:nvSpPr>
        <xdr:cNvPr id="89" name="Text Box 24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257240" y="16922282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432ED2DE-3BD0-4309-A8FE-05B28CC10D2D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 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59</xdr:row>
          <xdr:rowOff>0</xdr:rowOff>
        </xdr:from>
        <xdr:to>
          <xdr:col>1</xdr:col>
          <xdr:colOff>476250</xdr:colOff>
          <xdr:row>60</xdr:row>
          <xdr:rowOff>28575</xdr:rowOff>
        </xdr:to>
        <xdr:sp macro="" textlink="">
          <xdr:nvSpPr>
            <xdr:cNvPr id="673029" name="Drop Down 261" hidden="1">
              <a:extLst>
                <a:ext uri="{63B3BB69-23CF-44E3-9099-C40C66FF867C}">
                  <a14:compatExt spid="_x0000_s673029"/>
                </a:ext>
                <a:ext uri="{FF2B5EF4-FFF2-40B4-BE49-F238E27FC236}">
                  <a16:creationId xmlns:a16="http://schemas.microsoft.com/office/drawing/2014/main" id="{00000000-0008-0000-0000-0000054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321205</xdr:colOff>
          <xdr:row>10</xdr:row>
          <xdr:rowOff>130404</xdr:rowOff>
        </xdr:from>
        <xdr:to>
          <xdr:col>16</xdr:col>
          <xdr:colOff>2405565</xdr:colOff>
          <xdr:row>37</xdr:row>
          <xdr:rowOff>76200</xdr:rowOff>
        </xdr:to>
        <xdr:pic>
          <xdr:nvPicPr>
            <xdr:cNvPr id="96" name="Picture 8888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2" spid="_x0000_s67368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845455" y="2321154"/>
              <a:ext cx="9047135" cy="4965471"/>
            </a:xfrm>
            <a:prstGeom prst="rect">
              <a:avLst/>
            </a:prstGeom>
            <a:noFill/>
            <a:ln w="1587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46</xdr:row>
          <xdr:rowOff>0</xdr:rowOff>
        </xdr:from>
        <xdr:to>
          <xdr:col>14</xdr:col>
          <xdr:colOff>0</xdr:colOff>
          <xdr:row>47</xdr:row>
          <xdr:rowOff>9525</xdr:rowOff>
        </xdr:to>
        <xdr:sp macro="" textlink="">
          <xdr:nvSpPr>
            <xdr:cNvPr id="673295" name="Spinner 527" hidden="1">
              <a:extLst>
                <a:ext uri="{63B3BB69-23CF-44E3-9099-C40C66FF867C}">
                  <a14:compatExt spid="_x0000_s673295"/>
                </a:ext>
                <a:ext uri="{FF2B5EF4-FFF2-40B4-BE49-F238E27FC236}">
                  <a16:creationId xmlns:a16="http://schemas.microsoft.com/office/drawing/2014/main" id="{00000000-0008-0000-0000-00000F46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822960</xdr:colOff>
      <xdr:row>22</xdr:row>
      <xdr:rowOff>167640</xdr:rowOff>
    </xdr:from>
    <xdr:to>
      <xdr:col>11</xdr:col>
      <xdr:colOff>205740</xdr:colOff>
      <xdr:row>25</xdr:row>
      <xdr:rowOff>68580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 bwMode="auto">
        <a:xfrm>
          <a:off x="6713220" y="4579620"/>
          <a:ext cx="861060" cy="525780"/>
        </a:xfrm>
        <a:prstGeom prst="rect">
          <a:avLst/>
        </a:prstGeom>
        <a:solidFill>
          <a:srgbClr val="CCFFFF"/>
        </a:solidFill>
        <a:ln w="9525">
          <a:noFill/>
          <a:miter lim="800000"/>
          <a:headEnd/>
          <a:tailEnd/>
        </a:ln>
      </xdr:spPr>
      <xdr:txBody>
        <a:bodyPr vertOverflow="clip" horzOverflow="clip" wrap="square" lIns="27432" tIns="27432" rIns="0" bIns="0" rtlCol="0" anchor="ctr" upright="1"/>
        <a:lstStyle/>
        <a:p>
          <a:pPr algn="ctr" rtl="0"/>
          <a:r>
            <a:rPr lang="en-US" sz="1100" b="1" i="0" strike="noStrike">
              <a:solidFill>
                <a:srgbClr val="000000"/>
              </a:solidFill>
              <a:latin typeface="Calibri"/>
            </a:rPr>
            <a:t>LM5176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83</xdr:row>
          <xdr:rowOff>0</xdr:rowOff>
        </xdr:from>
        <xdr:to>
          <xdr:col>14</xdr:col>
          <xdr:colOff>0</xdr:colOff>
          <xdr:row>84</xdr:row>
          <xdr:rowOff>9525</xdr:rowOff>
        </xdr:to>
        <xdr:sp macro="" textlink="">
          <xdr:nvSpPr>
            <xdr:cNvPr id="673669" name="Spinner 901" hidden="1">
              <a:extLst>
                <a:ext uri="{63B3BB69-23CF-44E3-9099-C40C66FF867C}">
                  <a14:compatExt spid="_x0000_s673669"/>
                </a:ext>
                <a:ext uri="{FF2B5EF4-FFF2-40B4-BE49-F238E27FC236}">
                  <a16:creationId xmlns:a16="http://schemas.microsoft.com/office/drawing/2014/main" id="{00000000-0008-0000-0000-0000854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0.08469</cdr:x>
      <cdr:y>0.4934</cdr:y>
    </cdr:from>
    <cdr:to>
      <cdr:x>0.9187</cdr:x>
      <cdr:y>0.49511</cdr:y>
    </cdr:to>
    <cdr:sp macro="" textlink="">
      <cdr:nvSpPr>
        <cdr:cNvPr id="8195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733103" y="2356792"/>
          <a:ext cx="7219652" cy="816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0.92392</cdr:x>
      <cdr:y>0.56277</cdr:y>
    </cdr:from>
    <cdr:to>
      <cdr:x>0.97055</cdr:x>
      <cdr:y>0.61867</cdr:y>
    </cdr:to>
    <cdr:sp macro="" textlink="'Variable Management'!$B$454">
      <cdr:nvSpPr>
        <cdr:cNvPr id="3" name="Text Box 2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8004815" y="2953578"/>
          <a:ext cx="404001" cy="2933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22860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BB1BCF51-C5DA-4454-8307-018A0FF9C118}" type="TxLink"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58°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9524</xdr:rowOff>
    </xdr:from>
    <xdr:to>
      <xdr:col>9</xdr:col>
      <xdr:colOff>1219200</xdr:colOff>
      <xdr:row>44</xdr:row>
      <xdr:rowOff>85725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71449"/>
          <a:ext cx="10734675" cy="70770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428625</xdr:colOff>
      <xdr:row>3</xdr:row>
      <xdr:rowOff>47624</xdr:rowOff>
    </xdr:from>
    <xdr:to>
      <xdr:col>9</xdr:col>
      <xdr:colOff>1200150</xdr:colOff>
      <xdr:row>42</xdr:row>
      <xdr:rowOff>81752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533399"/>
          <a:ext cx="10410825" cy="6349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742225</xdr:colOff>
      <xdr:row>11</xdr:row>
      <xdr:rowOff>54039</xdr:rowOff>
    </xdr:from>
    <xdr:to>
      <xdr:col>10</xdr:col>
      <xdr:colOff>113596</xdr:colOff>
      <xdr:row>12</xdr:row>
      <xdr:rowOff>137902</xdr:rowOff>
    </xdr:to>
    <xdr:sp macro="" textlink="'Variable Management'!B431">
      <xdr:nvSpPr>
        <xdr:cNvPr id="23" name="Text Box 285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376082" y="1850182"/>
          <a:ext cx="521175" cy="2471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02C2B8A-7C4B-4FDB-B229-3170089D9686}" type="TxLink">
            <a:rPr lang="en-US" sz="1200" b="1" i="0" u="none" strike="noStrike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12V</a:t>
          </a:fld>
          <a:endParaRPr lang="en-US" sz="1200" b="1" i="0" u="none" strike="noStrike" baseline="0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9</xdr:col>
      <xdr:colOff>611176</xdr:colOff>
      <xdr:row>12</xdr:row>
      <xdr:rowOff>116821</xdr:rowOff>
    </xdr:from>
    <xdr:to>
      <xdr:col>9</xdr:col>
      <xdr:colOff>1171576</xdr:colOff>
      <xdr:row>14</xdr:row>
      <xdr:rowOff>29271</xdr:rowOff>
    </xdr:to>
    <xdr:sp macro="" textlink="'Variable Management'!B473">
      <xdr:nvSpPr>
        <xdr:cNvPr id="24" name="Text Box 286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250476" y="2059921"/>
          <a:ext cx="560400" cy="23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E0FB88FA-F39E-4ACF-AB5E-DCB628763AAE}" type="TxLink">
            <a:rPr lang="en-US" sz="1200" b="1" i="0" u="none" strike="noStrike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12A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215765</xdr:colOff>
      <xdr:row>21</xdr:row>
      <xdr:rowOff>138591</xdr:rowOff>
    </xdr:from>
    <xdr:to>
      <xdr:col>7</xdr:col>
      <xdr:colOff>621919</xdr:colOff>
      <xdr:row>23</xdr:row>
      <xdr:rowOff>25832</xdr:rowOff>
    </xdr:to>
    <xdr:sp macro="" textlink="'Variable Management'!B438">
      <xdr:nvSpPr>
        <xdr:cNvPr id="26" name="Text Box 276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796351" y="3587298"/>
          <a:ext cx="406154" cy="2156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8EC17DC9-9599-436B-83BE-CF5CE4344793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10µF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365389</xdr:colOff>
      <xdr:row>21</xdr:row>
      <xdr:rowOff>135869</xdr:rowOff>
    </xdr:from>
    <xdr:to>
      <xdr:col>1</xdr:col>
      <xdr:colOff>230978</xdr:colOff>
      <xdr:row>23</xdr:row>
      <xdr:rowOff>26451</xdr:rowOff>
    </xdr:to>
    <xdr:sp macro="" textlink="">
      <xdr:nvSpPr>
        <xdr:cNvPr id="30" name="Text Box 224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>
          <a:spLocks noChangeArrowheads="1"/>
        </xdr:cNvSpPr>
      </xdr:nvSpPr>
      <xdr:spPr bwMode="auto">
        <a:xfrm>
          <a:off x="365389" y="3614565"/>
          <a:ext cx="503350" cy="2218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SLOPE</a:t>
          </a:r>
        </a:p>
      </xdr:txBody>
    </xdr:sp>
    <xdr:clientData/>
  </xdr:twoCellAnchor>
  <xdr:twoCellAnchor>
    <xdr:from>
      <xdr:col>2</xdr:col>
      <xdr:colOff>159713</xdr:colOff>
      <xdr:row>37</xdr:row>
      <xdr:rowOff>159333</xdr:rowOff>
    </xdr:from>
    <xdr:to>
      <xdr:col>2</xdr:col>
      <xdr:colOff>479651</xdr:colOff>
      <xdr:row>39</xdr:row>
      <xdr:rowOff>38653</xdr:rowOff>
    </xdr:to>
    <xdr:sp macro="" textlink="">
      <xdr:nvSpPr>
        <xdr:cNvPr id="31" name="Text Box 225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>
          <a:spLocks noChangeArrowheads="1"/>
        </xdr:cNvSpPr>
      </xdr:nvSpPr>
      <xdr:spPr bwMode="auto">
        <a:xfrm>
          <a:off x="2150438" y="6150558"/>
          <a:ext cx="319938" cy="2031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FB1</a:t>
          </a:r>
        </a:p>
      </xdr:txBody>
    </xdr:sp>
    <xdr:clientData/>
  </xdr:twoCellAnchor>
  <xdr:twoCellAnchor>
    <xdr:from>
      <xdr:col>7</xdr:col>
      <xdr:colOff>1034941</xdr:colOff>
      <xdr:row>19</xdr:row>
      <xdr:rowOff>127711</xdr:rowOff>
    </xdr:from>
    <xdr:to>
      <xdr:col>8</xdr:col>
      <xdr:colOff>381857</xdr:colOff>
      <xdr:row>20</xdr:row>
      <xdr:rowOff>159098</xdr:rowOff>
    </xdr:to>
    <xdr:sp macro="" textlink="">
      <xdr:nvSpPr>
        <xdr:cNvPr id="33" name="Text Box 228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>
          <a:spLocks noChangeArrowheads="1"/>
        </xdr:cNvSpPr>
      </xdr:nvSpPr>
      <xdr:spPr bwMode="auto">
        <a:xfrm>
          <a:off x="8615527" y="3247970"/>
          <a:ext cx="424227" cy="1956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OUT</a:t>
          </a:r>
        </a:p>
      </xdr:txBody>
    </xdr:sp>
    <xdr:clientData/>
  </xdr:twoCellAnchor>
  <xdr:twoCellAnchor>
    <xdr:from>
      <xdr:col>9</xdr:col>
      <xdr:colOff>141502</xdr:colOff>
      <xdr:row>11</xdr:row>
      <xdr:rowOff>18316</xdr:rowOff>
    </xdr:from>
    <xdr:to>
      <xdr:col>9</xdr:col>
      <xdr:colOff>606793</xdr:colOff>
      <xdr:row>12</xdr:row>
      <xdr:rowOff>78135</xdr:rowOff>
    </xdr:to>
    <xdr:sp macro="" textlink="">
      <xdr:nvSpPr>
        <xdr:cNvPr id="34" name="Text Box 231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>
          <a:spLocks noChangeArrowheads="1"/>
        </xdr:cNvSpPr>
      </xdr:nvSpPr>
      <xdr:spPr bwMode="auto">
        <a:xfrm>
          <a:off x="9775359" y="1814459"/>
          <a:ext cx="465291" cy="2231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CS(out)</a:t>
          </a:r>
        </a:p>
      </xdr:txBody>
    </xdr:sp>
    <xdr:clientData/>
  </xdr:twoCellAnchor>
  <xdr:twoCellAnchor>
    <xdr:from>
      <xdr:col>1</xdr:col>
      <xdr:colOff>575103</xdr:colOff>
      <xdr:row>15</xdr:row>
      <xdr:rowOff>71293</xdr:rowOff>
    </xdr:from>
    <xdr:to>
      <xdr:col>1</xdr:col>
      <xdr:colOff>1033728</xdr:colOff>
      <xdr:row>16</xdr:row>
      <xdr:rowOff>121097</xdr:rowOff>
    </xdr:to>
    <xdr:sp macro="" textlink="">
      <xdr:nvSpPr>
        <xdr:cNvPr id="35" name="Text Box 233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>
          <a:spLocks noChangeArrowheads="1"/>
        </xdr:cNvSpPr>
      </xdr:nvSpPr>
      <xdr:spPr bwMode="auto">
        <a:xfrm>
          <a:off x="1213278" y="2500168"/>
          <a:ext cx="458625" cy="2117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DITH</a:t>
          </a:r>
        </a:p>
      </xdr:txBody>
    </xdr:sp>
    <xdr:clientData/>
  </xdr:twoCellAnchor>
  <xdr:twoCellAnchor>
    <xdr:from>
      <xdr:col>7</xdr:col>
      <xdr:colOff>920230</xdr:colOff>
      <xdr:row>27</xdr:row>
      <xdr:rowOff>76146</xdr:rowOff>
    </xdr:from>
    <xdr:to>
      <xdr:col>8</xdr:col>
      <xdr:colOff>33391</xdr:colOff>
      <xdr:row>28</xdr:row>
      <xdr:rowOff>131403</xdr:rowOff>
    </xdr:to>
    <xdr:sp macro="" textlink="">
      <xdr:nvSpPr>
        <xdr:cNvPr id="36" name="Text Box 234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>
          <a:spLocks noChangeArrowheads="1"/>
        </xdr:cNvSpPr>
      </xdr:nvSpPr>
      <xdr:spPr bwMode="auto">
        <a:xfrm>
          <a:off x="8502130" y="4448121"/>
          <a:ext cx="189486" cy="2171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</a:t>
          </a:r>
        </a:p>
      </xdr:txBody>
    </xdr:sp>
    <xdr:clientData/>
  </xdr:twoCellAnchor>
  <xdr:twoCellAnchor>
    <xdr:from>
      <xdr:col>7</xdr:col>
      <xdr:colOff>423180</xdr:colOff>
      <xdr:row>14</xdr:row>
      <xdr:rowOff>151191</xdr:rowOff>
    </xdr:from>
    <xdr:to>
      <xdr:col>7</xdr:col>
      <xdr:colOff>765561</xdr:colOff>
      <xdr:row>16</xdr:row>
      <xdr:rowOff>38470</xdr:rowOff>
    </xdr:to>
    <xdr:sp macro="" textlink="">
      <xdr:nvSpPr>
        <xdr:cNvPr id="37" name="Text Box 235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>
          <a:spLocks noChangeArrowheads="1"/>
        </xdr:cNvSpPr>
      </xdr:nvSpPr>
      <xdr:spPr bwMode="auto">
        <a:xfrm>
          <a:off x="8005080" y="2418141"/>
          <a:ext cx="342381" cy="2111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L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>
    <xdr:from>
      <xdr:col>4</xdr:col>
      <xdr:colOff>120315</xdr:colOff>
      <xdr:row>40</xdr:row>
      <xdr:rowOff>73324</xdr:rowOff>
    </xdr:from>
    <xdr:to>
      <xdr:col>4</xdr:col>
      <xdr:colOff>524058</xdr:colOff>
      <xdr:row>41</xdr:row>
      <xdr:rowOff>126640</xdr:rowOff>
    </xdr:to>
    <xdr:sp macro="" textlink="">
      <xdr:nvSpPr>
        <xdr:cNvPr id="38" name="Text Box 2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>
          <a:spLocks noChangeArrowheads="1"/>
        </xdr:cNvSpPr>
      </xdr:nvSpPr>
      <xdr:spPr bwMode="auto">
        <a:xfrm>
          <a:off x="4530390" y="6550324"/>
          <a:ext cx="403743" cy="2152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100pF</a:t>
          </a:r>
        </a:p>
      </xdr:txBody>
    </xdr:sp>
    <xdr:clientData/>
  </xdr:twoCellAnchor>
  <xdr:twoCellAnchor>
    <xdr:from>
      <xdr:col>7</xdr:col>
      <xdr:colOff>230281</xdr:colOff>
      <xdr:row>19</xdr:row>
      <xdr:rowOff>118899</xdr:rowOff>
    </xdr:from>
    <xdr:to>
      <xdr:col>7</xdr:col>
      <xdr:colOff>481762</xdr:colOff>
      <xdr:row>20</xdr:row>
      <xdr:rowOff>159567</xdr:rowOff>
    </xdr:to>
    <xdr:sp macro="" textlink="">
      <xdr:nvSpPr>
        <xdr:cNvPr id="39" name="Text Box 2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>
          <a:spLocks noChangeArrowheads="1"/>
        </xdr:cNvSpPr>
      </xdr:nvSpPr>
      <xdr:spPr bwMode="auto">
        <a:xfrm>
          <a:off x="7810867" y="3239158"/>
          <a:ext cx="251481" cy="2048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IN</a:t>
          </a:r>
        </a:p>
      </xdr:txBody>
    </xdr:sp>
    <xdr:clientData/>
  </xdr:twoCellAnchor>
  <xdr:twoCellAnchor>
    <xdr:from>
      <xdr:col>2</xdr:col>
      <xdr:colOff>690613</xdr:colOff>
      <xdr:row>7</xdr:row>
      <xdr:rowOff>112069</xdr:rowOff>
    </xdr:from>
    <xdr:to>
      <xdr:col>2</xdr:col>
      <xdr:colOff>1019019</xdr:colOff>
      <xdr:row>9</xdr:row>
      <xdr:rowOff>13359</xdr:rowOff>
    </xdr:to>
    <xdr:sp macro="" textlink="">
      <xdr:nvSpPr>
        <xdr:cNvPr id="40" name="Text Box 2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>
          <a:spLocks noChangeArrowheads="1"/>
        </xdr:cNvSpPr>
      </xdr:nvSpPr>
      <xdr:spPr bwMode="auto">
        <a:xfrm>
          <a:off x="2681338" y="1245544"/>
          <a:ext cx="328406" cy="2251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>
    <xdr:from>
      <xdr:col>2</xdr:col>
      <xdr:colOff>604626</xdr:colOff>
      <xdr:row>4</xdr:row>
      <xdr:rowOff>101811</xdr:rowOff>
    </xdr:from>
    <xdr:to>
      <xdr:col>2</xdr:col>
      <xdr:colOff>930926</xdr:colOff>
      <xdr:row>5</xdr:row>
      <xdr:rowOff>137577</xdr:rowOff>
    </xdr:to>
    <xdr:sp macro="" textlink="">
      <xdr:nvSpPr>
        <xdr:cNvPr id="41" name="Text Box 2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>
          <a:spLocks noChangeArrowheads="1"/>
        </xdr:cNvSpPr>
      </xdr:nvSpPr>
      <xdr:spPr bwMode="auto">
        <a:xfrm>
          <a:off x="2595351" y="749511"/>
          <a:ext cx="326300" cy="1976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>
    <xdr:from>
      <xdr:col>4</xdr:col>
      <xdr:colOff>420809</xdr:colOff>
      <xdr:row>5</xdr:row>
      <xdr:rowOff>36340</xdr:rowOff>
    </xdr:from>
    <xdr:to>
      <xdr:col>4</xdr:col>
      <xdr:colOff>941827</xdr:colOff>
      <xdr:row>6</xdr:row>
      <xdr:rowOff>104790</xdr:rowOff>
    </xdr:to>
    <xdr:sp macro="" textlink="">
      <xdr:nvSpPr>
        <xdr:cNvPr id="42" name="Text Box 248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>
          <a:spLocks noChangeArrowheads="1"/>
        </xdr:cNvSpPr>
      </xdr:nvSpPr>
      <xdr:spPr bwMode="auto">
        <a:xfrm>
          <a:off x="4830884" y="845965"/>
          <a:ext cx="521018" cy="230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>
    <xdr:from>
      <xdr:col>5</xdr:col>
      <xdr:colOff>681590</xdr:colOff>
      <xdr:row>20</xdr:row>
      <xdr:rowOff>92429</xdr:rowOff>
    </xdr:from>
    <xdr:to>
      <xdr:col>5</xdr:col>
      <xdr:colOff>1050728</xdr:colOff>
      <xdr:row>21</xdr:row>
      <xdr:rowOff>132267</xdr:rowOff>
    </xdr:to>
    <xdr:sp macro="" textlink="">
      <xdr:nvSpPr>
        <xdr:cNvPr id="43" name="Text Box 249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>
          <a:spLocks noChangeArrowheads="1"/>
        </xdr:cNvSpPr>
      </xdr:nvSpPr>
      <xdr:spPr bwMode="auto">
        <a:xfrm>
          <a:off x="6239220" y="3405472"/>
          <a:ext cx="369138" cy="2054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VCC</a:t>
          </a:r>
        </a:p>
      </xdr:txBody>
    </xdr:sp>
    <xdr:clientData/>
  </xdr:twoCellAnchor>
  <xdr:twoCellAnchor>
    <xdr:from>
      <xdr:col>1</xdr:col>
      <xdr:colOff>615609</xdr:colOff>
      <xdr:row>25</xdr:row>
      <xdr:rowOff>16697</xdr:rowOff>
    </xdr:from>
    <xdr:to>
      <xdr:col>1</xdr:col>
      <xdr:colOff>941178</xdr:colOff>
      <xdr:row>26</xdr:row>
      <xdr:rowOff>87108</xdr:rowOff>
    </xdr:to>
    <xdr:sp macro="" textlink="">
      <xdr:nvSpPr>
        <xdr:cNvPr id="45" name="Text Box 251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>
          <a:spLocks noChangeArrowheads="1"/>
        </xdr:cNvSpPr>
      </xdr:nvSpPr>
      <xdr:spPr bwMode="auto">
        <a:xfrm>
          <a:off x="1253370" y="4158001"/>
          <a:ext cx="325569" cy="2360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SS</a:t>
          </a:r>
        </a:p>
      </xdr:txBody>
    </xdr:sp>
    <xdr:clientData/>
  </xdr:twoCellAnchor>
  <xdr:twoCellAnchor>
    <xdr:from>
      <xdr:col>1</xdr:col>
      <xdr:colOff>620109</xdr:colOff>
      <xdr:row>35</xdr:row>
      <xdr:rowOff>18502</xdr:rowOff>
    </xdr:from>
    <xdr:to>
      <xdr:col>1</xdr:col>
      <xdr:colOff>975998</xdr:colOff>
      <xdr:row>36</xdr:row>
      <xdr:rowOff>58189</xdr:rowOff>
    </xdr:to>
    <xdr:sp macro="" textlink="">
      <xdr:nvSpPr>
        <xdr:cNvPr id="46" name="Text Box 25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>
          <a:spLocks noChangeArrowheads="1"/>
        </xdr:cNvSpPr>
      </xdr:nvSpPr>
      <xdr:spPr bwMode="auto">
        <a:xfrm>
          <a:off x="1258284" y="5685877"/>
          <a:ext cx="355889" cy="201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FB2</a:t>
          </a:r>
        </a:p>
      </xdr:txBody>
    </xdr:sp>
    <xdr:clientData/>
  </xdr:twoCellAnchor>
  <xdr:twoCellAnchor>
    <xdr:from>
      <xdr:col>0</xdr:col>
      <xdr:colOff>248672</xdr:colOff>
      <xdr:row>28</xdr:row>
      <xdr:rowOff>99817</xdr:rowOff>
    </xdr:from>
    <xdr:to>
      <xdr:col>0</xdr:col>
      <xdr:colOff>496177</xdr:colOff>
      <xdr:row>29</xdr:row>
      <xdr:rowOff>147296</xdr:rowOff>
    </xdr:to>
    <xdr:sp macro="" textlink="">
      <xdr:nvSpPr>
        <xdr:cNvPr id="47" name="Text Box 25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>
          <a:spLocks noChangeArrowheads="1"/>
        </xdr:cNvSpPr>
      </xdr:nvSpPr>
      <xdr:spPr bwMode="auto">
        <a:xfrm>
          <a:off x="248672" y="4633717"/>
          <a:ext cx="247505" cy="2094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C2</a:t>
          </a:r>
        </a:p>
      </xdr:txBody>
    </xdr:sp>
    <xdr:clientData/>
  </xdr:twoCellAnchor>
  <xdr:twoCellAnchor>
    <xdr:from>
      <xdr:col>1</xdr:col>
      <xdr:colOff>513058</xdr:colOff>
      <xdr:row>32</xdr:row>
      <xdr:rowOff>14364</xdr:rowOff>
    </xdr:from>
    <xdr:to>
      <xdr:col>1</xdr:col>
      <xdr:colOff>826519</xdr:colOff>
      <xdr:row>33</xdr:row>
      <xdr:rowOff>80087</xdr:rowOff>
    </xdr:to>
    <xdr:sp macro="" textlink="">
      <xdr:nvSpPr>
        <xdr:cNvPr id="48" name="Text Box 25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>
          <a:spLocks noChangeArrowheads="1"/>
        </xdr:cNvSpPr>
      </xdr:nvSpPr>
      <xdr:spPr bwMode="auto">
        <a:xfrm>
          <a:off x="1151233" y="5195964"/>
          <a:ext cx="313461" cy="2276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>
    <xdr:from>
      <xdr:col>1</xdr:col>
      <xdr:colOff>373551</xdr:colOff>
      <xdr:row>29</xdr:row>
      <xdr:rowOff>70727</xdr:rowOff>
    </xdr:from>
    <xdr:to>
      <xdr:col>1</xdr:col>
      <xdr:colOff>865344</xdr:colOff>
      <xdr:row>30</xdr:row>
      <xdr:rowOff>141637</xdr:rowOff>
    </xdr:to>
    <xdr:sp macro="" textlink="">
      <xdr:nvSpPr>
        <xdr:cNvPr id="49" name="Text Box 25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>
          <a:spLocks noChangeArrowheads="1"/>
        </xdr:cNvSpPr>
      </xdr:nvSpPr>
      <xdr:spPr bwMode="auto">
        <a:xfrm>
          <a:off x="1011726" y="4766552"/>
          <a:ext cx="491793" cy="2328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u="none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>
    <xdr:from>
      <xdr:col>3</xdr:col>
      <xdr:colOff>995933</xdr:colOff>
      <xdr:row>40</xdr:row>
      <xdr:rowOff>24379</xdr:rowOff>
    </xdr:from>
    <xdr:to>
      <xdr:col>4</xdr:col>
      <xdr:colOff>8382</xdr:colOff>
      <xdr:row>41</xdr:row>
      <xdr:rowOff>74707</xdr:rowOff>
    </xdr:to>
    <xdr:sp macro="" textlink="">
      <xdr:nvSpPr>
        <xdr:cNvPr id="50" name="Text Box 25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>
          <a:spLocks noChangeArrowheads="1"/>
        </xdr:cNvSpPr>
      </xdr:nvSpPr>
      <xdr:spPr bwMode="auto">
        <a:xfrm>
          <a:off x="4062983" y="6501379"/>
          <a:ext cx="355474" cy="2122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>
    <xdr:from>
      <xdr:col>5</xdr:col>
      <xdr:colOff>680852</xdr:colOff>
      <xdr:row>22</xdr:row>
      <xdr:rowOff>30506</xdr:rowOff>
    </xdr:from>
    <xdr:to>
      <xdr:col>5</xdr:col>
      <xdr:colOff>1092245</xdr:colOff>
      <xdr:row>23</xdr:row>
      <xdr:rowOff>102262</xdr:rowOff>
    </xdr:to>
    <xdr:sp macro="" textlink="">
      <xdr:nvSpPr>
        <xdr:cNvPr id="51" name="Text Box 26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>
          <a:spLocks noChangeArrowheads="1"/>
        </xdr:cNvSpPr>
      </xdr:nvSpPr>
      <xdr:spPr bwMode="auto">
        <a:xfrm>
          <a:off x="6238197" y="3643437"/>
          <a:ext cx="411393" cy="235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μ</a:t>
          </a: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>
    <xdr:from>
      <xdr:col>1</xdr:col>
      <xdr:colOff>475307</xdr:colOff>
      <xdr:row>33</xdr:row>
      <xdr:rowOff>47050</xdr:rowOff>
    </xdr:from>
    <xdr:to>
      <xdr:col>1</xdr:col>
      <xdr:colOff>976607</xdr:colOff>
      <xdr:row>34</xdr:row>
      <xdr:rowOff>93389</xdr:rowOff>
    </xdr:to>
    <xdr:sp macro="" textlink="'Variable Management'!B442">
      <xdr:nvSpPr>
        <xdr:cNvPr id="52" name="Text Box 26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113482" y="5390575"/>
          <a:ext cx="501300" cy="2082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491934A6-59AB-480F-A883-A2630DEA4784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33nF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65780</xdr:colOff>
      <xdr:row>29</xdr:row>
      <xdr:rowOff>152907</xdr:rowOff>
    </xdr:from>
    <xdr:to>
      <xdr:col>0</xdr:col>
      <xdr:colOff>493109</xdr:colOff>
      <xdr:row>31</xdr:row>
      <xdr:rowOff>28938</xdr:rowOff>
    </xdr:to>
    <xdr:sp macro="" textlink="'Variable Management'!B443">
      <xdr:nvSpPr>
        <xdr:cNvPr id="53" name="Text Box 26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5780" y="4848732"/>
          <a:ext cx="427329" cy="1998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2D8520E2-C481-4B17-83BA-3FA209B7A03A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1000pF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308705</xdr:colOff>
      <xdr:row>36</xdr:row>
      <xdr:rowOff>59874</xdr:rowOff>
    </xdr:from>
    <xdr:to>
      <xdr:col>1</xdr:col>
      <xdr:colOff>915457</xdr:colOff>
      <xdr:row>37</xdr:row>
      <xdr:rowOff>101302</xdr:rowOff>
    </xdr:to>
    <xdr:sp macro="" textlink="'Variable Management'!B452">
      <xdr:nvSpPr>
        <xdr:cNvPr id="54" name="Text Box 264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>
          <a:spLocks noChangeArrowheads="1" noTextEdit="1"/>
        </xdr:cNvSpPr>
      </xdr:nvSpPr>
      <xdr:spPr bwMode="auto">
        <a:xfrm>
          <a:off x="946880" y="5889174"/>
          <a:ext cx="606752" cy="2033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4143709D-01BC-4A19-AF00-5C62DAE21E0B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20kΩ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331510</xdr:colOff>
      <xdr:row>6</xdr:row>
      <xdr:rowOff>15898</xdr:rowOff>
    </xdr:from>
    <xdr:to>
      <xdr:col>1</xdr:col>
      <xdr:colOff>150224</xdr:colOff>
      <xdr:row>7</xdr:row>
      <xdr:rowOff>105957</xdr:rowOff>
    </xdr:to>
    <xdr:sp macro="" textlink="'Variable Management'!B444">
      <xdr:nvSpPr>
        <xdr:cNvPr id="55" name="Text Box 26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31510" y="987448"/>
          <a:ext cx="399739" cy="2519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8A5847E3-10F5-4FFF-8A55-57AE8AD8F48A}" type="TxLink">
            <a:rPr lang="el-GR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 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342427</xdr:colOff>
      <xdr:row>23</xdr:row>
      <xdr:rowOff>11119</xdr:rowOff>
    </xdr:from>
    <xdr:to>
      <xdr:col>1</xdr:col>
      <xdr:colOff>241897</xdr:colOff>
      <xdr:row>24</xdr:row>
      <xdr:rowOff>30597</xdr:rowOff>
    </xdr:to>
    <xdr:sp macro="" textlink="'Variable Management'!B449">
      <xdr:nvSpPr>
        <xdr:cNvPr id="56" name="Text Box 26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42427" y="3821119"/>
          <a:ext cx="537231" cy="185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6C3BF70F-B67A-49A8-941F-821453611716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270pF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138114</xdr:colOff>
      <xdr:row>39</xdr:row>
      <xdr:rowOff>24182</xdr:rowOff>
    </xdr:from>
    <xdr:to>
      <xdr:col>2</xdr:col>
      <xdr:colOff>737223</xdr:colOff>
      <xdr:row>40</xdr:row>
      <xdr:rowOff>100589</xdr:rowOff>
    </xdr:to>
    <xdr:sp macro="" textlink="'Variable Management'!B451">
      <xdr:nvSpPr>
        <xdr:cNvPr id="58" name="Text Box 26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128839" y="6339257"/>
          <a:ext cx="599109" cy="238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DE4FB3C5-779F-4472-8885-3DB2A25A3AD8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280kΩ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871333</xdr:colOff>
      <xdr:row>28</xdr:row>
      <xdr:rowOff>94989</xdr:rowOff>
    </xdr:from>
    <xdr:to>
      <xdr:col>8</xdr:col>
      <xdr:colOff>238953</xdr:colOff>
      <xdr:row>29</xdr:row>
      <xdr:rowOff>153991</xdr:rowOff>
    </xdr:to>
    <xdr:sp macro="" textlink="'Variable Management'!B428">
      <xdr:nvSpPr>
        <xdr:cNvPr id="59" name="Text Box 269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453233" y="4628889"/>
          <a:ext cx="443945" cy="2209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93CAFF9C-D0F9-46B6-B2B7-EF65E2F3688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4mΩ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9</xdr:col>
      <xdr:colOff>152402</xdr:colOff>
      <xdr:row>12</xdr:row>
      <xdr:rowOff>50107</xdr:rowOff>
    </xdr:from>
    <xdr:to>
      <xdr:col>9</xdr:col>
      <xdr:colOff>720245</xdr:colOff>
      <xdr:row>13</xdr:row>
      <xdr:rowOff>96840</xdr:rowOff>
    </xdr:to>
    <xdr:sp macro="" textlink="'Variable Management'!B464">
      <xdr:nvSpPr>
        <xdr:cNvPr id="60" name="Text Box 270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9791702" y="1993207"/>
          <a:ext cx="567843" cy="2086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B92BB06-DA54-414A-9DCD-8FA61A7BAA13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4.2mΩ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429021</xdr:colOff>
      <xdr:row>16</xdr:row>
      <xdr:rowOff>76214</xdr:rowOff>
    </xdr:from>
    <xdr:to>
      <xdr:col>1</xdr:col>
      <xdr:colOff>907105</xdr:colOff>
      <xdr:row>18</xdr:row>
      <xdr:rowOff>1354</xdr:rowOff>
    </xdr:to>
    <xdr:sp macro="" textlink="'Variable Management'!B460">
      <xdr:nvSpPr>
        <xdr:cNvPr id="61" name="Text Box 274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67196" y="2667014"/>
          <a:ext cx="478084" cy="248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0DC16DAA-59E9-44C1-A2D2-01ECF4509AE4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39nF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716970</xdr:colOff>
      <xdr:row>14</xdr:row>
      <xdr:rowOff>56268</xdr:rowOff>
    </xdr:from>
    <xdr:to>
      <xdr:col>8</xdr:col>
      <xdr:colOff>89785</xdr:colOff>
      <xdr:row>15</xdr:row>
      <xdr:rowOff>135004</xdr:rowOff>
    </xdr:to>
    <xdr:sp macro="" textlink="'Variable Management'!B426">
      <xdr:nvSpPr>
        <xdr:cNvPr id="62" name="Text Box 275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298870" y="2323218"/>
          <a:ext cx="449140" cy="2406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ED0F9337-3E5A-436B-8905-45EE6C1A24B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4.7µH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980756</xdr:colOff>
      <xdr:row>7</xdr:row>
      <xdr:rowOff>136396</xdr:rowOff>
    </xdr:from>
    <xdr:to>
      <xdr:col>3</xdr:col>
      <xdr:colOff>278958</xdr:colOff>
      <xdr:row>9</xdr:row>
      <xdr:rowOff>33148</xdr:rowOff>
    </xdr:to>
    <xdr:sp macro="" textlink="">
      <xdr:nvSpPr>
        <xdr:cNvPr id="64" name="Text Box 277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>
          <a:spLocks noChangeArrowheads="1"/>
        </xdr:cNvSpPr>
      </xdr:nvSpPr>
      <xdr:spPr bwMode="auto">
        <a:xfrm>
          <a:off x="2971481" y="1269871"/>
          <a:ext cx="374527" cy="22060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2.2Ω</a:t>
          </a:r>
        </a:p>
      </xdr:txBody>
    </xdr:sp>
    <xdr:clientData/>
  </xdr:twoCellAnchor>
  <xdr:twoCellAnchor>
    <xdr:from>
      <xdr:col>2</xdr:col>
      <xdr:colOff>997828</xdr:colOff>
      <xdr:row>4</xdr:row>
      <xdr:rowOff>118970</xdr:rowOff>
    </xdr:from>
    <xdr:to>
      <xdr:col>3</xdr:col>
      <xdr:colOff>294718</xdr:colOff>
      <xdr:row>6</xdr:row>
      <xdr:rowOff>1420</xdr:rowOff>
    </xdr:to>
    <xdr:sp macro="" textlink="">
      <xdr:nvSpPr>
        <xdr:cNvPr id="65" name="Text Box 278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>
          <a:spLocks noChangeArrowheads="1"/>
        </xdr:cNvSpPr>
      </xdr:nvSpPr>
      <xdr:spPr bwMode="auto">
        <a:xfrm>
          <a:off x="2988553" y="766670"/>
          <a:ext cx="373215" cy="20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0.1µF</a:t>
          </a:r>
        </a:p>
      </xdr:txBody>
    </xdr:sp>
    <xdr:clientData/>
  </xdr:twoCellAnchor>
  <xdr:twoCellAnchor>
    <xdr:from>
      <xdr:col>3</xdr:col>
      <xdr:colOff>869838</xdr:colOff>
      <xdr:row>5</xdr:row>
      <xdr:rowOff>157620</xdr:rowOff>
    </xdr:from>
    <xdr:to>
      <xdr:col>3</xdr:col>
      <xdr:colOff>1237172</xdr:colOff>
      <xdr:row>7</xdr:row>
      <xdr:rowOff>51606</xdr:rowOff>
    </xdr:to>
    <xdr:sp macro="" textlink="">
      <xdr:nvSpPr>
        <xdr:cNvPr id="66" name="Text Box 279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>
          <a:spLocks noChangeArrowheads="1"/>
        </xdr:cNvSpPr>
      </xdr:nvSpPr>
      <xdr:spPr bwMode="auto">
        <a:xfrm>
          <a:off x="3936888" y="967245"/>
          <a:ext cx="367334" cy="217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554935</xdr:colOff>
      <xdr:row>26</xdr:row>
      <xdr:rowOff>53675</xdr:rowOff>
    </xdr:from>
    <xdr:to>
      <xdr:col>1</xdr:col>
      <xdr:colOff>982330</xdr:colOff>
      <xdr:row>27</xdr:row>
      <xdr:rowOff>107675</xdr:rowOff>
    </xdr:to>
    <xdr:sp macro="" textlink="'Variable Management'!B470">
      <xdr:nvSpPr>
        <xdr:cNvPr id="67" name="Text Box 281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192696" y="4360632"/>
          <a:ext cx="427395" cy="2196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77460045-3ADA-4E36-A50B-8C5C548E137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100nF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183342</xdr:colOff>
      <xdr:row>11</xdr:row>
      <xdr:rowOff>45280</xdr:rowOff>
    </xdr:from>
    <xdr:to>
      <xdr:col>7</xdr:col>
      <xdr:colOff>1038225</xdr:colOff>
      <xdr:row>12</xdr:row>
      <xdr:rowOff>122378</xdr:rowOff>
    </xdr:to>
    <xdr:sp macro="" textlink="'Variable Management'!B475">
      <xdr:nvSpPr>
        <xdr:cNvPr id="68" name="Text Box 283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765242" y="1826455"/>
          <a:ext cx="854883" cy="239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CF96CF7C-BD7E-4CCA-B5EE-051D5ECE3C3A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6V...36V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496011</xdr:colOff>
      <xdr:row>19</xdr:row>
      <xdr:rowOff>38863</xdr:rowOff>
    </xdr:from>
    <xdr:to>
      <xdr:col>1</xdr:col>
      <xdr:colOff>159316</xdr:colOff>
      <xdr:row>20</xdr:row>
      <xdr:rowOff>104749</xdr:rowOff>
    </xdr:to>
    <xdr:sp macro="" textlink="">
      <xdr:nvSpPr>
        <xdr:cNvPr id="69" name="Text Box 251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>
          <a:spLocks noChangeArrowheads="1"/>
        </xdr:cNvSpPr>
      </xdr:nvSpPr>
      <xdr:spPr bwMode="auto">
        <a:xfrm>
          <a:off x="496011" y="3186254"/>
          <a:ext cx="301066" cy="231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T</a:t>
          </a:r>
        </a:p>
      </xdr:txBody>
    </xdr:sp>
    <xdr:clientData/>
  </xdr:twoCellAnchor>
  <xdr:twoCellAnchor>
    <xdr:from>
      <xdr:col>0</xdr:col>
      <xdr:colOff>377770</xdr:colOff>
      <xdr:row>20</xdr:row>
      <xdr:rowOff>80751</xdr:rowOff>
    </xdr:from>
    <xdr:to>
      <xdr:col>1</xdr:col>
      <xdr:colOff>252241</xdr:colOff>
      <xdr:row>21</xdr:row>
      <xdr:rowOff>137042</xdr:rowOff>
    </xdr:to>
    <xdr:sp macro="" textlink="'Variable Management'!B469">
      <xdr:nvSpPr>
        <xdr:cNvPr id="70" name="Text Box 281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77770" y="3393794"/>
          <a:ext cx="512232" cy="2219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84EB9262-B954-486D-9975-AAB24967BDA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33.2kΩ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</xdr:col>
      <xdr:colOff>796942</xdr:colOff>
      <xdr:row>4</xdr:row>
      <xdr:rowOff>118318</xdr:rowOff>
    </xdr:from>
    <xdr:to>
      <xdr:col>3</xdr:col>
      <xdr:colOff>1286666</xdr:colOff>
      <xdr:row>6</xdr:row>
      <xdr:rowOff>13165</xdr:rowOff>
    </xdr:to>
    <xdr:sp macro="" textlink="">
      <xdr:nvSpPr>
        <xdr:cNvPr id="71" name="Text Box 24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>
          <a:spLocks noChangeArrowheads="1"/>
        </xdr:cNvSpPr>
      </xdr:nvSpPr>
      <xdr:spPr bwMode="auto">
        <a:xfrm>
          <a:off x="3863992" y="766018"/>
          <a:ext cx="489724" cy="218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>
    <xdr:from>
      <xdr:col>5</xdr:col>
      <xdr:colOff>76508</xdr:colOff>
      <xdr:row>34</xdr:row>
      <xdr:rowOff>63521</xdr:rowOff>
    </xdr:from>
    <xdr:to>
      <xdr:col>5</xdr:col>
      <xdr:colOff>561776</xdr:colOff>
      <xdr:row>35</xdr:row>
      <xdr:rowOff>131086</xdr:rowOff>
    </xdr:to>
    <xdr:sp macro="" textlink="">
      <xdr:nvSpPr>
        <xdr:cNvPr id="72" name="Text Box 25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>
          <a:spLocks noChangeArrowheads="1"/>
        </xdr:cNvSpPr>
      </xdr:nvSpPr>
      <xdr:spPr bwMode="auto">
        <a:xfrm>
          <a:off x="5639108" y="5568971"/>
          <a:ext cx="485268" cy="2294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PGOOD</a:t>
          </a:r>
        </a:p>
      </xdr:txBody>
    </xdr:sp>
    <xdr:clientData/>
  </xdr:twoCellAnchor>
  <xdr:twoCellAnchor>
    <xdr:from>
      <xdr:col>5</xdr:col>
      <xdr:colOff>138771</xdr:colOff>
      <xdr:row>35</xdr:row>
      <xdr:rowOff>74703</xdr:rowOff>
    </xdr:from>
    <xdr:to>
      <xdr:col>5</xdr:col>
      <xdr:colOff>737568</xdr:colOff>
      <xdr:row>36</xdr:row>
      <xdr:rowOff>137829</xdr:rowOff>
    </xdr:to>
    <xdr:sp macro="" textlink="'Variable Management'!B466">
      <xdr:nvSpPr>
        <xdr:cNvPr id="75" name="Text Box 281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701371" y="5742078"/>
          <a:ext cx="598797" cy="2250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2B60B3D7-A35E-42EC-ADCF-A28C0EEDE92A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20kΩ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660744</xdr:colOff>
      <xdr:row>2</xdr:row>
      <xdr:rowOff>83758</xdr:rowOff>
    </xdr:from>
    <xdr:to>
      <xdr:col>3</xdr:col>
      <xdr:colOff>142704</xdr:colOff>
      <xdr:row>3</xdr:row>
      <xdr:rowOff>137564</xdr:rowOff>
    </xdr:to>
    <xdr:sp macro="" textlink="'Variable Management'!H213">
      <xdr:nvSpPr>
        <xdr:cNvPr id="77" name="Text Box 26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651469" y="407608"/>
          <a:ext cx="558285" cy="2157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123D91BC-1DE9-4CAD-9801-8A70C08E2402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57.6kΩ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742259</xdr:colOff>
      <xdr:row>1</xdr:row>
      <xdr:rowOff>51892</xdr:rowOff>
    </xdr:from>
    <xdr:to>
      <xdr:col>3</xdr:col>
      <xdr:colOff>72733</xdr:colOff>
      <xdr:row>2</xdr:row>
      <xdr:rowOff>84849</xdr:rowOff>
    </xdr:to>
    <xdr:sp macro="" textlink="">
      <xdr:nvSpPr>
        <xdr:cNvPr id="78" name="Text Box 25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2732984" y="213817"/>
          <a:ext cx="406799" cy="1948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UV2</a:t>
          </a:r>
        </a:p>
      </xdr:txBody>
    </xdr:sp>
    <xdr:clientData/>
  </xdr:twoCellAnchor>
  <xdr:twoCellAnchor>
    <xdr:from>
      <xdr:col>3</xdr:col>
      <xdr:colOff>767565</xdr:colOff>
      <xdr:row>2</xdr:row>
      <xdr:rowOff>104846</xdr:rowOff>
    </xdr:from>
    <xdr:to>
      <xdr:col>3</xdr:col>
      <xdr:colOff>1320774</xdr:colOff>
      <xdr:row>3</xdr:row>
      <xdr:rowOff>146368</xdr:rowOff>
    </xdr:to>
    <xdr:sp macro="" textlink="'Variable Management'!H212">
      <xdr:nvSpPr>
        <xdr:cNvPr id="79" name="Text Box 264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834615" y="428696"/>
          <a:ext cx="553209" cy="20344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302BC79D-87FA-43D3-B7A3-AC5513B978CE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249kΩ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</xdr:col>
      <xdr:colOff>907336</xdr:colOff>
      <xdr:row>1</xdr:row>
      <xdr:rowOff>55949</xdr:rowOff>
    </xdr:from>
    <xdr:to>
      <xdr:col>3</xdr:col>
      <xdr:colOff>1310539</xdr:colOff>
      <xdr:row>2</xdr:row>
      <xdr:rowOff>90786</xdr:rowOff>
    </xdr:to>
    <xdr:sp macro="" textlink="">
      <xdr:nvSpPr>
        <xdr:cNvPr id="80" name="Text Box 255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3974386" y="217874"/>
          <a:ext cx="403203" cy="1967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UV1</a:t>
          </a:r>
        </a:p>
      </xdr:txBody>
    </xdr:sp>
    <xdr:clientData/>
  </xdr:twoCellAnchor>
  <xdr:twoCellAnchor>
    <xdr:from>
      <xdr:col>7</xdr:col>
      <xdr:colOff>736760</xdr:colOff>
      <xdr:row>15</xdr:row>
      <xdr:rowOff>71843</xdr:rowOff>
    </xdr:from>
    <xdr:to>
      <xdr:col>8</xdr:col>
      <xdr:colOff>170918</xdr:colOff>
      <xdr:row>16</xdr:row>
      <xdr:rowOff>150126</xdr:rowOff>
    </xdr:to>
    <xdr:sp macro="" textlink="'Variable Management'!B427">
      <xdr:nvSpPr>
        <xdr:cNvPr id="81" name="Text Box 275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318660" y="2500718"/>
          <a:ext cx="510483" cy="2402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8F944446-DDAD-4884-A5E8-09BF985C0BDC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3.35mΩ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955380</xdr:colOff>
      <xdr:row>37</xdr:row>
      <xdr:rowOff>90714</xdr:rowOff>
    </xdr:from>
    <xdr:to>
      <xdr:col>5</xdr:col>
      <xdr:colOff>134259</xdr:colOff>
      <xdr:row>38</xdr:row>
      <xdr:rowOff>146676</xdr:rowOff>
    </xdr:to>
    <xdr:sp macro="" textlink="">
      <xdr:nvSpPr>
        <xdr:cNvPr id="82" name="Text Box 245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5365455" y="6081939"/>
          <a:ext cx="331404" cy="2178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>
    <xdr:from>
      <xdr:col>1</xdr:col>
      <xdr:colOff>379931</xdr:colOff>
      <xdr:row>30</xdr:row>
      <xdr:rowOff>84193</xdr:rowOff>
    </xdr:from>
    <xdr:to>
      <xdr:col>1</xdr:col>
      <xdr:colOff>939469</xdr:colOff>
      <xdr:row>31</xdr:row>
      <xdr:rowOff>120656</xdr:rowOff>
    </xdr:to>
    <xdr:sp macro="" textlink="'Variable Management'!B441">
      <xdr:nvSpPr>
        <xdr:cNvPr id="85" name="Text Box 268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18106" y="4941943"/>
          <a:ext cx="559538" cy="1983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4B33C4C3-0115-4071-92DE-EA7C9B86DB41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ctr" rtl="0">
              <a:defRPr sz="1000"/>
            </a:pPr>
            <a:t>6.19kΩ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398601</xdr:colOff>
      <xdr:row>14</xdr:row>
      <xdr:rowOff>62329</xdr:rowOff>
    </xdr:from>
    <xdr:to>
      <xdr:col>6</xdr:col>
      <xdr:colOff>586155</xdr:colOff>
      <xdr:row>15</xdr:row>
      <xdr:rowOff>117096</xdr:rowOff>
    </xdr:to>
    <xdr:sp macro="" textlink="">
      <xdr:nvSpPr>
        <xdr:cNvPr id="87" name="Text Box 234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328860" y="2361467"/>
          <a:ext cx="187554" cy="2189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6</xdr:col>
      <xdr:colOff>382198</xdr:colOff>
      <xdr:row>21</xdr:row>
      <xdr:rowOff>60849</xdr:rowOff>
    </xdr:from>
    <xdr:to>
      <xdr:col>6</xdr:col>
      <xdr:colOff>569752</xdr:colOff>
      <xdr:row>22</xdr:row>
      <xdr:rowOff>118648</xdr:rowOff>
    </xdr:to>
    <xdr:sp macro="" textlink="">
      <xdr:nvSpPr>
        <xdr:cNvPr id="88" name="Text Box 234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7312457" y="3509556"/>
          <a:ext cx="187554" cy="222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7</xdr:col>
      <xdr:colOff>236598</xdr:colOff>
      <xdr:row>20</xdr:row>
      <xdr:rowOff>126296</xdr:rowOff>
    </xdr:from>
    <xdr:to>
      <xdr:col>7</xdr:col>
      <xdr:colOff>642752</xdr:colOff>
      <xdr:row>22</xdr:row>
      <xdr:rowOff>11441</xdr:rowOff>
    </xdr:to>
    <xdr:sp macro="" textlink="'Variable Management'!B439">
      <xdr:nvSpPr>
        <xdr:cNvPr id="92" name="Text Box 276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817184" y="3410779"/>
          <a:ext cx="406154" cy="2135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F7819C42-9D73-4A1D-B514-80CDFD54256D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10 x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1246665</xdr:colOff>
      <xdr:row>12</xdr:row>
      <xdr:rowOff>149462</xdr:rowOff>
    </xdr:from>
    <xdr:to>
      <xdr:col>2</xdr:col>
      <xdr:colOff>157529</xdr:colOff>
      <xdr:row>14</xdr:row>
      <xdr:rowOff>35568</xdr:rowOff>
    </xdr:to>
    <xdr:sp macro="" textlink="">
      <xdr:nvSpPr>
        <xdr:cNvPr id="94" name="Text Box 259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1884840" y="2092562"/>
          <a:ext cx="263414" cy="2099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U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7</xdr:col>
      <xdr:colOff>1063737</xdr:colOff>
      <xdr:row>21</xdr:row>
      <xdr:rowOff>145566</xdr:rowOff>
    </xdr:from>
    <xdr:to>
      <xdr:col>8</xdr:col>
      <xdr:colOff>391049</xdr:colOff>
      <xdr:row>23</xdr:row>
      <xdr:rowOff>33474</xdr:rowOff>
    </xdr:to>
    <xdr:sp macro="" textlink="'Variable Management'!B434">
      <xdr:nvSpPr>
        <xdr:cNvPr id="95" name="Text Box 276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644323" y="3594273"/>
          <a:ext cx="404623" cy="2163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685D3738-5ABE-4B4E-B06A-00C3820FCB43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22µF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1055995</xdr:colOff>
      <xdr:row>20</xdr:row>
      <xdr:rowOff>136150</xdr:rowOff>
    </xdr:from>
    <xdr:to>
      <xdr:col>8</xdr:col>
      <xdr:colOff>383307</xdr:colOff>
      <xdr:row>22</xdr:row>
      <xdr:rowOff>22694</xdr:rowOff>
    </xdr:to>
    <xdr:sp macro="" textlink="'Variable Management'!B435">
      <xdr:nvSpPr>
        <xdr:cNvPr id="96" name="Text Box 276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636581" y="3420633"/>
          <a:ext cx="404623" cy="2149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55A5E480-A149-4617-A245-D5E398CDA407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28 x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714753</xdr:colOff>
      <xdr:row>24</xdr:row>
      <xdr:rowOff>130910</xdr:rowOff>
    </xdr:from>
    <xdr:to>
      <xdr:col>5</xdr:col>
      <xdr:colOff>1237179</xdr:colOff>
      <xdr:row>26</xdr:row>
      <xdr:rowOff>38166</xdr:rowOff>
    </xdr:to>
    <xdr:sp macro="" textlink="">
      <xdr:nvSpPr>
        <xdr:cNvPr id="93" name="Text Box 248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6273271" y="4049767"/>
          <a:ext cx="522426" cy="2338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>
    <xdr:from>
      <xdr:col>8</xdr:col>
      <xdr:colOff>534347</xdr:colOff>
      <xdr:row>14</xdr:row>
      <xdr:rowOff>72993</xdr:rowOff>
    </xdr:from>
    <xdr:to>
      <xdr:col>8</xdr:col>
      <xdr:colOff>721901</xdr:colOff>
      <xdr:row>15</xdr:row>
      <xdr:rowOff>127760</xdr:rowOff>
    </xdr:to>
    <xdr:sp macro="" textlink="">
      <xdr:nvSpPr>
        <xdr:cNvPr id="97" name="Text Box 234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9192244" y="2372131"/>
          <a:ext cx="187554" cy="2189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8</xdr:col>
      <xdr:colOff>545862</xdr:colOff>
      <xdr:row>21</xdr:row>
      <xdr:rowOff>55234</xdr:rowOff>
    </xdr:from>
    <xdr:to>
      <xdr:col>8</xdr:col>
      <xdr:colOff>733416</xdr:colOff>
      <xdr:row>22</xdr:row>
      <xdr:rowOff>113033</xdr:rowOff>
    </xdr:to>
    <xdr:sp macro="" textlink="">
      <xdr:nvSpPr>
        <xdr:cNvPr id="98" name="Text Box 234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9201188" y="3533930"/>
          <a:ext cx="187554" cy="2234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5</xdr:col>
      <xdr:colOff>770091</xdr:colOff>
      <xdr:row>29</xdr:row>
      <xdr:rowOff>48773</xdr:rowOff>
    </xdr:from>
    <xdr:to>
      <xdr:col>5</xdr:col>
      <xdr:colOff>1136667</xdr:colOff>
      <xdr:row>30</xdr:row>
      <xdr:rowOff>110312</xdr:rowOff>
    </xdr:to>
    <xdr:sp macro="" textlink="">
      <xdr:nvSpPr>
        <xdr:cNvPr id="99" name="Text Box 27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6332691" y="4744598"/>
          <a:ext cx="366576" cy="2234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739057</xdr:colOff>
      <xdr:row>28</xdr:row>
      <xdr:rowOff>10125</xdr:rowOff>
    </xdr:from>
    <xdr:to>
      <xdr:col>5</xdr:col>
      <xdr:colOff>1228023</xdr:colOff>
      <xdr:row>29</xdr:row>
      <xdr:rowOff>64929</xdr:rowOff>
    </xdr:to>
    <xdr:sp macro="" textlink="">
      <xdr:nvSpPr>
        <xdr:cNvPr id="100" name="Text Box 247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6301657" y="4544025"/>
          <a:ext cx="488966" cy="2167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>
    <xdr:from>
      <xdr:col>4</xdr:col>
      <xdr:colOff>956346</xdr:colOff>
      <xdr:row>42</xdr:row>
      <xdr:rowOff>10652</xdr:rowOff>
    </xdr:from>
    <xdr:to>
      <xdr:col>5</xdr:col>
      <xdr:colOff>168728</xdr:colOff>
      <xdr:row>43</xdr:row>
      <xdr:rowOff>69644</xdr:rowOff>
    </xdr:to>
    <xdr:sp macro="" textlink="">
      <xdr:nvSpPr>
        <xdr:cNvPr id="101" name="Text Box 245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5366421" y="6811502"/>
          <a:ext cx="364907" cy="220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CSG</a:t>
          </a:r>
        </a:p>
      </xdr:txBody>
    </xdr:sp>
    <xdr:clientData/>
  </xdr:twoCellAnchor>
  <xdr:twoCellAnchor>
    <xdr:from>
      <xdr:col>4</xdr:col>
      <xdr:colOff>938047</xdr:colOff>
      <xdr:row>43</xdr:row>
      <xdr:rowOff>43495</xdr:rowOff>
    </xdr:from>
    <xdr:to>
      <xdr:col>5</xdr:col>
      <xdr:colOff>158314</xdr:colOff>
      <xdr:row>44</xdr:row>
      <xdr:rowOff>66371</xdr:rowOff>
    </xdr:to>
    <xdr:sp macro="" textlink="">
      <xdr:nvSpPr>
        <xdr:cNvPr id="103" name="Text Box 277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 txBox="1">
          <a:spLocks noChangeArrowheads="1"/>
        </xdr:cNvSpPr>
      </xdr:nvSpPr>
      <xdr:spPr bwMode="auto">
        <a:xfrm>
          <a:off x="5348122" y="7006270"/>
          <a:ext cx="372792" cy="2229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</a:t>
          </a: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Ω</a:t>
          </a:r>
        </a:p>
      </xdr:txBody>
    </xdr:sp>
    <xdr:clientData/>
  </xdr:twoCellAnchor>
  <xdr:twoCellAnchor>
    <xdr:from>
      <xdr:col>2</xdr:col>
      <xdr:colOff>127802</xdr:colOff>
      <xdr:row>7</xdr:row>
      <xdr:rowOff>69925</xdr:rowOff>
    </xdr:from>
    <xdr:to>
      <xdr:col>2</xdr:col>
      <xdr:colOff>561808</xdr:colOff>
      <xdr:row>8</xdr:row>
      <xdr:rowOff>143499</xdr:rowOff>
    </xdr:to>
    <xdr:sp macro="" textlink="">
      <xdr:nvSpPr>
        <xdr:cNvPr id="104" name="Text Box 248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 txBox="1">
          <a:spLocks noChangeArrowheads="1"/>
        </xdr:cNvSpPr>
      </xdr:nvSpPr>
      <xdr:spPr bwMode="auto">
        <a:xfrm>
          <a:off x="2118527" y="1203400"/>
          <a:ext cx="434006" cy="2354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>
    <xdr:from>
      <xdr:col>4</xdr:col>
      <xdr:colOff>903979</xdr:colOff>
      <xdr:row>39</xdr:row>
      <xdr:rowOff>8956</xdr:rowOff>
    </xdr:from>
    <xdr:to>
      <xdr:col>5</xdr:col>
      <xdr:colOff>123188</xdr:colOff>
      <xdr:row>40</xdr:row>
      <xdr:rowOff>72374</xdr:rowOff>
    </xdr:to>
    <xdr:sp macro="" textlink="">
      <xdr:nvSpPr>
        <xdr:cNvPr id="73" name="Text Box 277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>
          <a:spLocks noChangeArrowheads="1"/>
        </xdr:cNvSpPr>
      </xdr:nvSpPr>
      <xdr:spPr bwMode="auto">
        <a:xfrm>
          <a:off x="5314054" y="6324031"/>
          <a:ext cx="371734" cy="2253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</a:t>
          </a: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Ω</a:t>
          </a:r>
        </a:p>
      </xdr:txBody>
    </xdr:sp>
    <xdr:clientData/>
  </xdr:twoCellAnchor>
  <xdr:twoCellAnchor>
    <xdr:from>
      <xdr:col>3</xdr:col>
      <xdr:colOff>190500</xdr:colOff>
      <xdr:row>22</xdr:row>
      <xdr:rowOff>15240</xdr:rowOff>
    </xdr:from>
    <xdr:to>
      <xdr:col>4</xdr:col>
      <xdr:colOff>38100</xdr:colOff>
      <xdr:row>25</xdr:row>
      <xdr:rowOff>38100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 bwMode="auto">
        <a:xfrm>
          <a:off x="3345180" y="3703320"/>
          <a:ext cx="1226820" cy="525780"/>
        </a:xfrm>
        <a:prstGeom prst="rect">
          <a:avLst/>
        </a:prstGeom>
        <a:solidFill>
          <a:srgbClr val="CCFFFF"/>
        </a:solidFill>
        <a:ln w="9525">
          <a:noFill/>
          <a:miter lim="800000"/>
          <a:headEnd/>
          <a:tailEnd/>
        </a:ln>
      </xdr:spPr>
      <xdr:txBody>
        <a:bodyPr vertOverflow="clip" horzOverflow="clip" wrap="square" lIns="27432" tIns="27432" rIns="0" bIns="0" rtlCol="0" anchor="ctr" upright="1"/>
        <a:lstStyle/>
        <a:p>
          <a:pPr algn="ctr" rtl="0"/>
          <a:r>
            <a:rPr lang="en-US" sz="2000" b="1" i="0" strike="noStrike">
              <a:solidFill>
                <a:srgbClr val="FF0000"/>
              </a:solidFill>
              <a:latin typeface="Calibri"/>
            </a:rPr>
            <a:t>LM5176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1</xdr:col>
      <xdr:colOff>600075</xdr:colOff>
      <xdr:row>2</xdr:row>
      <xdr:rowOff>85676</xdr:rowOff>
    </xdr:to>
    <xdr:pic>
      <xdr:nvPicPr>
        <xdr:cNvPr id="2" name="Picture 1" descr="ti 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"/>
          <a:ext cx="2314575" cy="2952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200025</xdr:colOff>
      <xdr:row>0</xdr:row>
      <xdr:rowOff>114300</xdr:rowOff>
    </xdr:from>
    <xdr:ext cx="3752850" cy="38170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914525" y="114300"/>
          <a:ext cx="3752850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600">
              <a:latin typeface="Arial Black" panose="020B0A04020102020204" pitchFamily="34" charset="0"/>
            </a:rPr>
            <a:t>About this tool...</a:t>
          </a:r>
        </a:p>
      </xdr:txBody>
    </xdr:sp>
    <xdr:clientData/>
  </xdr:oneCellAnchor>
  <xdr:oneCellAnchor>
    <xdr:from>
      <xdr:col>3</xdr:col>
      <xdr:colOff>323850</xdr:colOff>
      <xdr:row>1</xdr:row>
      <xdr:rowOff>28575</xdr:rowOff>
    </xdr:from>
    <xdr:ext cx="4641014" cy="254557"/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419850" y="209550"/>
          <a:ext cx="464101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i="0" u="none" strike="noStrike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  <a:hlinkClick xmlns:r="http://schemas.openxmlformats.org/officeDocument/2006/relationships" r:id=""/>
            </a:rPr>
            <a:t>© Copyright 2026</a:t>
          </a:r>
          <a:r>
            <a:rPr lang="en-US" sz="1100" b="0" i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Texas Instruments Incorporated. All rights reserved.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95247</xdr:colOff>
      <xdr:row>6</xdr:row>
      <xdr:rowOff>47623</xdr:rowOff>
    </xdr:from>
    <xdr:ext cx="11229977" cy="418147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47" y="1114423"/>
          <a:ext cx="11229977" cy="418147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IMPORTANT NOTICE AND DISCLAIMER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PROVIDES TECHNICAL AND RELIABILITY DATA (INCLUDING DATA SHEETS), DESIGN RESOURCES (INCLUDING REFERENCE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DESIGNS), APPLICATION OR OTHER DESIGN ADVICE, WEB TOOLS, SAFETY INFORMATION, AND OTHER RESOURCES “AS IS”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AND WITH ALL FAULTS, AND DISCLAIMS ALL WARRANTIES, EXPRESS AND IMPLIED, INCLUDING WITHOUT LIMITATION ANY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IMPLIED WARRANTIES OF MERCHANTABILITY, FITNESS FOR A PARTICULAR PURPOSE OR NON-INFRINGEMENT OF THIRD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PARTY INTELLECTUAL PROPERTY RIGHTS.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These resources are intended for skilled developers designing with TI products. You are solely responsible for (1) selecting the appropriate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products for your application, (2) designing, validating and testing your application, and (3) ensuring your application meets applicable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standards, and any other safety, security, regulatory or other requirements.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These resources are subject to change without notice. TI grants you permission to use these resources only for development of an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application that uses the TI products described in the resource. Other reproduction and display of these resources is prohibited. No license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is granted to any other TI intellectual property right or to any third party intellectual property right. TI disclaims responsibility for, and you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will fully indemnify TI and its representatives against, any claims, damages, costs, losses, and liabilities arising out of your use of these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resources.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TI’s products are provided subject to TI’s Terms of Sale or other applicable terms available either on ti.com or provided in conjunction with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such TI products. TI’s provision of these resources does not expand or otherwise alter TI’s applicable warranties or warranty disclaimers for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products.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objects to and rejects any additional or different terms you may have proposed. IMPORTANT NOTICE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Mailing Address: Texas Instruments, Post Office Box 655303, Dallas, Texas 75265</a:t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Copyright © 2026, Texas Instruments Incorporated</a:t>
          </a:r>
          <a:endParaRPr kumimoji="0" lang="en-US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95247</xdr:colOff>
      <xdr:row>30</xdr:row>
      <xdr:rowOff>28575</xdr:rowOff>
    </xdr:from>
    <xdr:ext cx="11229977" cy="6477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47" y="5438775"/>
          <a:ext cx="11229977" cy="6477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  </a:t>
          </a:r>
          <a:endParaRPr lang="en-US" sz="800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 Do not delete this worksheet!</a:t>
          </a:r>
          <a:endParaRPr lang="en-US" sz="800">
            <a:effectLst/>
          </a:endParaRPr>
        </a:p>
        <a:p>
          <a:pPr eaLnBrk="1" fontAlgn="auto" latinLnBrk="0" hangingPunct="1"/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 Redistributions must retain the above copyright and the following disclaimer.</a:t>
          </a:r>
          <a:endParaRPr lang="en-US" sz="800">
            <a:effectLst/>
          </a:endParaRPr>
        </a:p>
        <a:p>
          <a:endParaRPr lang="en-US" sz="8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564696</xdr:colOff>
      <xdr:row>107</xdr:row>
      <xdr:rowOff>123652</xdr:rowOff>
    </xdr:from>
    <xdr:to>
      <xdr:col>9</xdr:col>
      <xdr:colOff>564696</xdr:colOff>
      <xdr:row>136</xdr:row>
      <xdr:rowOff>141527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696" y="18125902"/>
          <a:ext cx="5510893" cy="47531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564696</xdr:colOff>
      <xdr:row>137</xdr:row>
      <xdr:rowOff>138794</xdr:rowOff>
    </xdr:from>
    <xdr:to>
      <xdr:col>9</xdr:col>
      <xdr:colOff>564696</xdr:colOff>
      <xdr:row>166</xdr:row>
      <xdr:rowOff>136279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696" y="23039615"/>
          <a:ext cx="5510893" cy="4732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564696</xdr:colOff>
      <xdr:row>34</xdr:row>
      <xdr:rowOff>51297</xdr:rowOff>
    </xdr:from>
    <xdr:to>
      <xdr:col>9</xdr:col>
      <xdr:colOff>540203</xdr:colOff>
      <xdr:row>56</xdr:row>
      <xdr:rowOff>136448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696" y="6133690"/>
          <a:ext cx="5486400" cy="3677437"/>
        </a:xfrm>
        <a:prstGeom prst="rect">
          <a:avLst/>
        </a:prstGeom>
      </xdr:spPr>
    </xdr:pic>
    <xdr:clientData/>
  </xdr:twoCellAnchor>
  <xdr:twoCellAnchor editAs="oneCell">
    <xdr:from>
      <xdr:col>0</xdr:col>
      <xdr:colOff>564696</xdr:colOff>
      <xdr:row>82</xdr:row>
      <xdr:rowOff>128683</xdr:rowOff>
    </xdr:from>
    <xdr:to>
      <xdr:col>9</xdr:col>
      <xdr:colOff>540203</xdr:colOff>
      <xdr:row>106</xdr:row>
      <xdr:rowOff>126387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696" y="14048790"/>
          <a:ext cx="5486400" cy="3916561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9</xdr:row>
      <xdr:rowOff>12307</xdr:rowOff>
    </xdr:from>
    <xdr:to>
      <xdr:col>20</xdr:col>
      <xdr:colOff>88900</xdr:colOff>
      <xdr:row>34</xdr:row>
      <xdr:rowOff>139706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84" t="7673" r="5497" b="7948"/>
        <a:stretch/>
      </xdr:blipFill>
      <xdr:spPr>
        <a:xfrm>
          <a:off x="7302500" y="1980807"/>
          <a:ext cx="5486400" cy="4096149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35</xdr:row>
      <xdr:rowOff>153607</xdr:rowOff>
    </xdr:from>
    <xdr:to>
      <xdr:col>20</xdr:col>
      <xdr:colOff>63873</xdr:colOff>
      <xdr:row>68</xdr:row>
      <xdr:rowOff>64167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4" t="3892" r="994" b="4124"/>
        <a:stretch/>
      </xdr:blipFill>
      <xdr:spPr>
        <a:xfrm>
          <a:off x="7296150" y="6249607"/>
          <a:ext cx="5467723" cy="514931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69</xdr:row>
      <xdr:rowOff>78068</xdr:rowOff>
    </xdr:from>
    <xdr:to>
      <xdr:col>20</xdr:col>
      <xdr:colOff>63873</xdr:colOff>
      <xdr:row>100</xdr:row>
      <xdr:rowOff>62923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8" t="6200" r="277" b="3403"/>
        <a:stretch/>
      </xdr:blipFill>
      <xdr:spPr>
        <a:xfrm>
          <a:off x="7296150" y="11571568"/>
          <a:ext cx="5467723" cy="49061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69271</xdr:colOff>
      <xdr:row>9</xdr:row>
      <xdr:rowOff>10102</xdr:rowOff>
    </xdr:from>
    <xdr:to>
      <xdr:col>33</xdr:col>
      <xdr:colOff>259771</xdr:colOff>
      <xdr:row>38</xdr:row>
      <xdr:rowOff>14251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" t="3176" r="2120" b="4976"/>
        <a:stretch/>
      </xdr:blipFill>
      <xdr:spPr>
        <a:xfrm>
          <a:off x="13975771" y="1978602"/>
          <a:ext cx="6826250" cy="4607899"/>
        </a:xfrm>
        <a:prstGeom prst="rect">
          <a:avLst/>
        </a:prstGeom>
      </xdr:spPr>
    </xdr:pic>
    <xdr:clientData/>
  </xdr:twoCellAnchor>
  <xdr:twoCellAnchor editAs="oneCell">
    <xdr:from>
      <xdr:col>22</xdr:col>
      <xdr:colOff>69271</xdr:colOff>
      <xdr:row>38</xdr:row>
      <xdr:rowOff>153610</xdr:rowOff>
    </xdr:from>
    <xdr:to>
      <xdr:col>33</xdr:col>
      <xdr:colOff>252695</xdr:colOff>
      <xdr:row>68</xdr:row>
      <xdr:rowOff>49701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67" t="10113" r="4940" b="8223"/>
        <a:stretch/>
      </xdr:blipFill>
      <xdr:spPr>
        <a:xfrm>
          <a:off x="13975771" y="6725860"/>
          <a:ext cx="6819174" cy="4658591"/>
        </a:xfrm>
        <a:prstGeom prst="rect">
          <a:avLst/>
        </a:prstGeom>
      </xdr:spPr>
    </xdr:pic>
    <xdr:clientData/>
  </xdr:twoCellAnchor>
  <xdr:twoCellAnchor editAs="oneCell">
    <xdr:from>
      <xdr:col>22</xdr:col>
      <xdr:colOff>69271</xdr:colOff>
      <xdr:row>69</xdr:row>
      <xdr:rowOff>27423</xdr:rowOff>
    </xdr:from>
    <xdr:to>
      <xdr:col>33</xdr:col>
      <xdr:colOff>259771</xdr:colOff>
      <xdr:row>98</xdr:row>
      <xdr:rowOff>109158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42" t="8673" r="3293" b="4723"/>
        <a:stretch/>
      </xdr:blipFill>
      <xdr:spPr>
        <a:xfrm>
          <a:off x="13975771" y="11520923"/>
          <a:ext cx="6826250" cy="4685485"/>
        </a:xfrm>
        <a:prstGeom prst="rect">
          <a:avLst/>
        </a:prstGeom>
      </xdr:spPr>
    </xdr:pic>
    <xdr:clientData/>
  </xdr:twoCellAnchor>
  <xdr:twoCellAnchor editAs="oneCell">
    <xdr:from>
      <xdr:col>0</xdr:col>
      <xdr:colOff>559596</xdr:colOff>
      <xdr:row>9</xdr:row>
      <xdr:rowOff>83343</xdr:rowOff>
    </xdr:from>
    <xdr:to>
      <xdr:col>9</xdr:col>
      <xdr:colOff>500062</xdr:colOff>
      <xdr:row>33</xdr:row>
      <xdr:rowOff>35718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58" t="7197" r="4310" b="7455"/>
        <a:stretch/>
      </xdr:blipFill>
      <xdr:spPr>
        <a:xfrm>
          <a:off x="559596" y="2107406"/>
          <a:ext cx="5405435" cy="3952875"/>
        </a:xfrm>
        <a:prstGeom prst="rect">
          <a:avLst/>
        </a:prstGeom>
      </xdr:spPr>
    </xdr:pic>
    <xdr:clientData/>
  </xdr:twoCellAnchor>
  <xdr:twoCellAnchor editAs="oneCell">
    <xdr:from>
      <xdr:col>0</xdr:col>
      <xdr:colOff>567877</xdr:colOff>
      <xdr:row>58</xdr:row>
      <xdr:rowOff>59530</xdr:rowOff>
    </xdr:from>
    <xdr:to>
      <xdr:col>9</xdr:col>
      <xdr:colOff>521805</xdr:colOff>
      <xdr:row>81</xdr:row>
      <xdr:rowOff>113822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16" t="10975" r="8251" b="10033"/>
        <a:stretch/>
      </xdr:blipFill>
      <xdr:spPr>
        <a:xfrm>
          <a:off x="567877" y="10189160"/>
          <a:ext cx="5470145" cy="38642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809625</xdr:colOff>
      <xdr:row>24</xdr:row>
      <xdr:rowOff>66675</xdr:rowOff>
    </xdr:from>
    <xdr:to>
      <xdr:col>19</xdr:col>
      <xdr:colOff>190500</xdr:colOff>
      <xdr:row>55</xdr:row>
      <xdr:rowOff>0</xdr:rowOff>
    </xdr:to>
    <xdr:grpSp>
      <xdr:nvGrpSpPr>
        <xdr:cNvPr id="2" name="Group 1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>
          <a:off x="10896600" y="4181475"/>
          <a:ext cx="6229350" cy="5010150"/>
          <a:chOff x="3209925" y="19650076"/>
          <a:chExt cx="5619750" cy="5910101"/>
        </a:xfrm>
      </xdr:grpSpPr>
      <xdr:pic>
        <xdr:nvPicPr>
          <xdr:cNvPr id="3" name="Picture 11" descr="Error amp - no ref des.tif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3209925" y="19659867"/>
            <a:ext cx="5619750" cy="59003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$A$442">
        <xdr:nvSpPr>
          <xdr:cNvPr id="4" name="Text Box 5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400675" y="23797353"/>
            <a:ext cx="961159" cy="2876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fld id="{646744A9-B6E0-4B97-A665-5D50832E7F13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l" rtl="0">
                <a:defRPr sz="1000"/>
              </a:pPr>
              <a:t>CC1 = 33nF</a:t>
            </a:fld>
            <a:endParaRPr lang="en-US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#REF!">
        <xdr:nvSpPr>
          <xdr:cNvPr id="5" name="Text Box 6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3322493" y="23862299"/>
            <a:ext cx="805295" cy="55668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872494E3-3BCB-4B8A-8556-319E6FBD4F6C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 </a:t>
            </a:fld>
            <a:endParaRPr lang="en-US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51">
        <xdr:nvSpPr>
          <xdr:cNvPr id="6" name="Text Box 9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539470" y="20865497"/>
            <a:ext cx="909205" cy="52884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52D31661-C732-4DB5-B625-AC6B80EEA28C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RFB1 = 280kΩ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52">
        <xdr:nvSpPr>
          <xdr:cNvPr id="7" name="Text Box 10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565449" y="22257201"/>
            <a:ext cx="917864" cy="3247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49F0D989-1BAE-4B3F-9979-B5F5B92776AD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RFB2 = 20kΩ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41">
        <xdr:nvSpPr>
          <xdr:cNvPr id="8" name="Text Box 4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314083" y="22860271"/>
            <a:ext cx="874568" cy="4175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fld id="{899FBA2F-0000-4A1A-AACB-0C4C45759FAE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l" rtl="0">
                <a:defRPr sz="1000"/>
              </a:pPr>
              <a:t>RC1 = 6.19kΩ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31">
        <xdr:nvSpPr>
          <xdr:cNvPr id="9" name="Text Box 9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452880" y="19650076"/>
            <a:ext cx="1082386" cy="31545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97BF0309-416E-405E-B585-4983CCA02D3E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VOUT = 12V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13</xdr:col>
      <xdr:colOff>66675</xdr:colOff>
      <xdr:row>16</xdr:row>
      <xdr:rowOff>152401</xdr:rowOff>
    </xdr:from>
    <xdr:to>
      <xdr:col>14</xdr:col>
      <xdr:colOff>504825</xdr:colOff>
      <xdr:row>18</xdr:row>
      <xdr:rowOff>95251</xdr:rowOff>
    </xdr:to>
    <xdr:sp macro="" textlink="$A$445">
      <xdr:nvSpPr>
        <xdr:cNvPr id="10" name="Text Box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173075" y="2647951"/>
          <a:ext cx="96202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DCFBE156-977E-4C45-9B24-0A2E6E91FFAB}" type="TxLink">
            <a:rPr lang="en-US" sz="1000" b="1" i="0" u="none" strike="noStrike" baseline="0">
              <a:solidFill>
                <a:srgbClr val="000000"/>
              </a:solidFill>
              <a:latin typeface="Arialri"/>
              <a:cs typeface="Arial"/>
            </a:rPr>
            <a:pPr algn="r" rtl="0">
              <a:defRPr sz="1000"/>
            </a:pPr>
            <a:t>gm = 1.27mS</a:t>
          </a:fld>
          <a:endParaRPr lang="el-G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95250</xdr:colOff>
      <xdr:row>21</xdr:row>
      <xdr:rowOff>0</xdr:rowOff>
    </xdr:from>
    <xdr:to>
      <xdr:col>14</xdr:col>
      <xdr:colOff>533400</xdr:colOff>
      <xdr:row>23</xdr:row>
      <xdr:rowOff>104775</xdr:rowOff>
    </xdr:to>
    <xdr:sp macro="" textlink="$A$446">
      <xdr:nvSpPr>
        <xdr:cNvPr id="11" name="Text Box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201650" y="3267075"/>
          <a:ext cx="96202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4772262A-5BC4-4AF8-A8E2-DF3959B443C1}" type="TxLink">
            <a:rPr lang="en-US" sz="1000" b="1" i="0" u="none" strike="noStrike" baseline="0">
              <a:solidFill>
                <a:srgbClr val="000000"/>
              </a:solidFill>
              <a:latin typeface="Arialri"/>
              <a:cs typeface="Arial"/>
            </a:rPr>
            <a:pPr algn="r" rtl="0">
              <a:defRPr sz="1000"/>
            </a:pPr>
            <a:t>RoEA = 20MΩ</a:t>
          </a:fld>
          <a:endParaRPr lang="el-G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95250</xdr:colOff>
      <xdr:row>19</xdr:row>
      <xdr:rowOff>0</xdr:rowOff>
    </xdr:from>
    <xdr:to>
      <xdr:col>14</xdr:col>
      <xdr:colOff>533400</xdr:colOff>
      <xdr:row>20</xdr:row>
      <xdr:rowOff>104775</xdr:rowOff>
    </xdr:to>
    <xdr:sp macro="" textlink="$A$447">
      <xdr:nvSpPr>
        <xdr:cNvPr id="12" name="Text Box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201650" y="2981325"/>
          <a:ext cx="96202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6540ECFD-AAA0-44C8-8BEA-3C65071BF767}" type="TxLink">
            <a:rPr lang="en-US" sz="1000" b="1" i="0" u="none" strike="noStrike" baseline="0">
              <a:solidFill>
                <a:srgbClr val="000000"/>
              </a:solidFill>
              <a:latin typeface="Arialri"/>
              <a:cs typeface="Arial"/>
            </a:rPr>
            <a:pPr algn="r" rtl="0">
              <a:defRPr sz="1000"/>
            </a:pPr>
            <a:t>GBW = 8MHz</a:t>
          </a:fld>
          <a:endParaRPr lang="el-G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2</xdr:col>
      <xdr:colOff>352425</xdr:colOff>
      <xdr:row>35</xdr:row>
      <xdr:rowOff>123825</xdr:rowOff>
    </xdr:from>
    <xdr:to>
      <xdr:col>5</xdr:col>
      <xdr:colOff>361657</xdr:colOff>
      <xdr:row>39</xdr:row>
      <xdr:rowOff>18982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3325" y="5857875"/>
          <a:ext cx="2342857" cy="542857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35</xdr:row>
      <xdr:rowOff>28575</xdr:rowOff>
    </xdr:from>
    <xdr:to>
      <xdr:col>7</xdr:col>
      <xdr:colOff>704662</xdr:colOff>
      <xdr:row>39</xdr:row>
      <xdr:rowOff>18970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62700" y="5762625"/>
          <a:ext cx="1504762" cy="6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</xdr:row>
      <xdr:rowOff>114300</xdr:rowOff>
    </xdr:from>
    <xdr:to>
      <xdr:col>4</xdr:col>
      <xdr:colOff>409374</xdr:colOff>
      <xdr:row>43</xdr:row>
      <xdr:rowOff>9457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2850" y="6496050"/>
          <a:ext cx="1609524" cy="542857"/>
        </a:xfrm>
        <a:prstGeom prst="rect">
          <a:avLst/>
        </a:prstGeom>
      </xdr:spPr>
    </xdr:pic>
    <xdr:clientData/>
  </xdr:twoCellAnchor>
  <xdr:twoCellAnchor editAs="oneCell">
    <xdr:from>
      <xdr:col>4</xdr:col>
      <xdr:colOff>752475</xdr:colOff>
      <xdr:row>39</xdr:row>
      <xdr:rowOff>85725</xdr:rowOff>
    </xdr:from>
    <xdr:to>
      <xdr:col>7</xdr:col>
      <xdr:colOff>1056961</xdr:colOff>
      <xdr:row>42</xdr:row>
      <xdr:rowOff>142807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05475" y="6467475"/>
          <a:ext cx="2514286" cy="5428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8839200</xdr:colOff>
      <xdr:row>5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647700"/>
          <a:ext cx="88392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8839200</xdr:colOff>
      <xdr:row>8</xdr:row>
      <xdr:rowOff>9525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6229350"/>
          <a:ext cx="88392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1741435</xdr:colOff>
      <xdr:row>4</xdr:row>
      <xdr:rowOff>4449692</xdr:rowOff>
    </xdr:from>
    <xdr:to>
      <xdr:col>1</xdr:col>
      <xdr:colOff>2083824</xdr:colOff>
      <xdr:row>4</xdr:row>
      <xdr:rowOff>4711252</xdr:rowOff>
    </xdr:to>
    <xdr:sp macro="" textlink="">
      <xdr:nvSpPr>
        <xdr:cNvPr id="6" name="Text Box 2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2446285" y="5097392"/>
          <a:ext cx="342389" cy="261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FB1</a:t>
          </a:r>
        </a:p>
      </xdr:txBody>
    </xdr:sp>
    <xdr:clientData/>
  </xdr:twoCellAnchor>
  <xdr:twoCellAnchor editAs="absolute">
    <xdr:from>
      <xdr:col>1</xdr:col>
      <xdr:colOff>6856439</xdr:colOff>
      <xdr:row>4</xdr:row>
      <xdr:rowOff>2095432</xdr:rowOff>
    </xdr:from>
    <xdr:to>
      <xdr:col>1</xdr:col>
      <xdr:colOff>7240372</xdr:colOff>
      <xdr:row>4</xdr:row>
      <xdr:rowOff>2323782</xdr:rowOff>
    </xdr:to>
    <xdr:sp macro="" textlink="">
      <xdr:nvSpPr>
        <xdr:cNvPr id="7" name="Text Box 228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7561289" y="2743132"/>
          <a:ext cx="383933" cy="228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OUT</a:t>
          </a:r>
        </a:p>
      </xdr:txBody>
    </xdr:sp>
    <xdr:clientData/>
  </xdr:twoCellAnchor>
  <xdr:twoCellAnchor editAs="absolute">
    <xdr:from>
      <xdr:col>1</xdr:col>
      <xdr:colOff>7914727</xdr:colOff>
      <xdr:row>4</xdr:row>
      <xdr:rowOff>985582</xdr:rowOff>
    </xdr:from>
    <xdr:to>
      <xdr:col>1</xdr:col>
      <xdr:colOff>8390563</xdr:colOff>
      <xdr:row>4</xdr:row>
      <xdr:rowOff>1229566</xdr:rowOff>
    </xdr:to>
    <xdr:sp macro="" textlink="">
      <xdr:nvSpPr>
        <xdr:cNvPr id="8" name="Text Box 23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19577" y="1633282"/>
          <a:ext cx="475836" cy="2439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CS(out)</a:t>
          </a:r>
        </a:p>
      </xdr:txBody>
    </xdr:sp>
    <xdr:clientData/>
  </xdr:twoCellAnchor>
  <xdr:twoCellAnchor editAs="absolute">
    <xdr:from>
      <xdr:col>1</xdr:col>
      <xdr:colOff>3248284</xdr:colOff>
      <xdr:row>4</xdr:row>
      <xdr:rowOff>4341824</xdr:rowOff>
    </xdr:from>
    <xdr:to>
      <xdr:col>1</xdr:col>
      <xdr:colOff>3522445</xdr:colOff>
      <xdr:row>4</xdr:row>
      <xdr:rowOff>4590206</xdr:rowOff>
    </xdr:to>
    <xdr:sp macro="" textlink="">
      <xdr:nvSpPr>
        <xdr:cNvPr id="9" name="Text Box 233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3953134" y="4989524"/>
          <a:ext cx="274161" cy="2483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 editAs="absolute">
    <xdr:from>
      <xdr:col>1</xdr:col>
      <xdr:colOff>6888908</xdr:colOff>
      <xdr:row>4</xdr:row>
      <xdr:rowOff>2971350</xdr:rowOff>
    </xdr:from>
    <xdr:to>
      <xdr:col>1</xdr:col>
      <xdr:colOff>7132769</xdr:colOff>
      <xdr:row>4</xdr:row>
      <xdr:rowOff>3192646</xdr:rowOff>
    </xdr:to>
    <xdr:sp macro="" textlink="">
      <xdr:nvSpPr>
        <xdr:cNvPr id="10" name="Text Box 234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7593758" y="3619050"/>
          <a:ext cx="243861" cy="221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</a:t>
          </a:r>
        </a:p>
      </xdr:txBody>
    </xdr:sp>
    <xdr:clientData/>
  </xdr:twoCellAnchor>
  <xdr:twoCellAnchor editAs="absolute">
    <xdr:from>
      <xdr:col>1</xdr:col>
      <xdr:colOff>6587606</xdr:colOff>
      <xdr:row>4</xdr:row>
      <xdr:rowOff>1269925</xdr:rowOff>
    </xdr:from>
    <xdr:to>
      <xdr:col>1</xdr:col>
      <xdr:colOff>6927606</xdr:colOff>
      <xdr:row>4</xdr:row>
      <xdr:rowOff>1547630</xdr:rowOff>
    </xdr:to>
    <xdr:sp macro="" textlink="">
      <xdr:nvSpPr>
        <xdr:cNvPr id="11" name="Text Box 235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7292456" y="1917625"/>
          <a:ext cx="340000" cy="2777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L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 editAs="absolute">
    <xdr:from>
      <xdr:col>1</xdr:col>
      <xdr:colOff>3618738</xdr:colOff>
      <xdr:row>4</xdr:row>
      <xdr:rowOff>4540413</xdr:rowOff>
    </xdr:from>
    <xdr:to>
      <xdr:col>1</xdr:col>
      <xdr:colOff>4025437</xdr:colOff>
      <xdr:row>4</xdr:row>
      <xdr:rowOff>4788337</xdr:rowOff>
    </xdr:to>
    <xdr:sp macro="" textlink="">
      <xdr:nvSpPr>
        <xdr:cNvPr id="12" name="Text Box 243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4323588" y="5188113"/>
          <a:ext cx="406699" cy="2479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100pF</a:t>
          </a:r>
        </a:p>
      </xdr:txBody>
    </xdr:sp>
    <xdr:clientData/>
  </xdr:twoCellAnchor>
  <xdr:twoCellAnchor editAs="absolute">
    <xdr:from>
      <xdr:col>1</xdr:col>
      <xdr:colOff>6345478</xdr:colOff>
      <xdr:row>4</xdr:row>
      <xdr:rowOff>2121792</xdr:rowOff>
    </xdr:from>
    <xdr:to>
      <xdr:col>1</xdr:col>
      <xdr:colOff>6670916</xdr:colOff>
      <xdr:row>4</xdr:row>
      <xdr:rowOff>2348038</xdr:rowOff>
    </xdr:to>
    <xdr:sp macro="" textlink="">
      <xdr:nvSpPr>
        <xdr:cNvPr id="13" name="Text Box 244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>
          <a:spLocks noChangeArrowheads="1"/>
        </xdr:cNvSpPr>
      </xdr:nvSpPr>
      <xdr:spPr bwMode="auto">
        <a:xfrm>
          <a:off x="7050328" y="2769492"/>
          <a:ext cx="325438" cy="2262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IN</a:t>
          </a:r>
        </a:p>
      </xdr:txBody>
    </xdr:sp>
    <xdr:clientData/>
  </xdr:twoCellAnchor>
  <xdr:twoCellAnchor editAs="absolute">
    <xdr:from>
      <xdr:col>1</xdr:col>
      <xdr:colOff>3985001</xdr:colOff>
      <xdr:row>4</xdr:row>
      <xdr:rowOff>69606</xdr:rowOff>
    </xdr:from>
    <xdr:to>
      <xdr:col>1</xdr:col>
      <xdr:colOff>4393844</xdr:colOff>
      <xdr:row>4</xdr:row>
      <xdr:rowOff>311250</xdr:rowOff>
    </xdr:to>
    <xdr:sp macro="" textlink="">
      <xdr:nvSpPr>
        <xdr:cNvPr id="14" name="Text Box 248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>
          <a:spLocks noChangeArrowheads="1"/>
        </xdr:cNvSpPr>
      </xdr:nvSpPr>
      <xdr:spPr bwMode="auto">
        <a:xfrm>
          <a:off x="4689851" y="717306"/>
          <a:ext cx="408843" cy="2416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5069341</xdr:colOff>
      <xdr:row>4</xdr:row>
      <xdr:rowOff>2108325</xdr:rowOff>
    </xdr:from>
    <xdr:to>
      <xdr:col>1</xdr:col>
      <xdr:colOff>5444036</xdr:colOff>
      <xdr:row>4</xdr:row>
      <xdr:rowOff>2358596</xdr:rowOff>
    </xdr:to>
    <xdr:sp macro="" textlink="">
      <xdr:nvSpPr>
        <xdr:cNvPr id="15" name="Text Box 249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>
          <a:spLocks noChangeArrowheads="1"/>
        </xdr:cNvSpPr>
      </xdr:nvSpPr>
      <xdr:spPr bwMode="auto">
        <a:xfrm>
          <a:off x="5774191" y="2756025"/>
          <a:ext cx="374695" cy="2502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VCC</a:t>
          </a:r>
        </a:p>
      </xdr:txBody>
    </xdr:sp>
    <xdr:clientData/>
  </xdr:twoCellAnchor>
  <xdr:twoCellAnchor editAs="absolute">
    <xdr:from>
      <xdr:col>1</xdr:col>
      <xdr:colOff>4599220</xdr:colOff>
      <xdr:row>4</xdr:row>
      <xdr:rowOff>4171631</xdr:rowOff>
    </xdr:from>
    <xdr:to>
      <xdr:col>1</xdr:col>
      <xdr:colOff>4910059</xdr:colOff>
      <xdr:row>4</xdr:row>
      <xdr:rowOff>4403721</xdr:rowOff>
    </xdr:to>
    <xdr:sp macro="" textlink="">
      <xdr:nvSpPr>
        <xdr:cNvPr id="16" name="Text Box 250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>
          <a:spLocks noChangeArrowheads="1"/>
        </xdr:cNvSpPr>
      </xdr:nvSpPr>
      <xdr:spPr bwMode="auto">
        <a:xfrm>
          <a:off x="5304070" y="4819331"/>
          <a:ext cx="310839" cy="2320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CS1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1023436</xdr:colOff>
      <xdr:row>4</xdr:row>
      <xdr:rowOff>2749110</xdr:rowOff>
    </xdr:from>
    <xdr:to>
      <xdr:col>1</xdr:col>
      <xdr:colOff>1350592</xdr:colOff>
      <xdr:row>4</xdr:row>
      <xdr:rowOff>3004734</xdr:rowOff>
    </xdr:to>
    <xdr:sp macro="" textlink="">
      <xdr:nvSpPr>
        <xdr:cNvPr id="17" name="Text Box 25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>
          <a:spLocks noChangeArrowheads="1"/>
        </xdr:cNvSpPr>
      </xdr:nvSpPr>
      <xdr:spPr bwMode="auto">
        <a:xfrm>
          <a:off x="1728286" y="3396810"/>
          <a:ext cx="327156" cy="2556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SS</a:t>
          </a:r>
        </a:p>
      </xdr:txBody>
    </xdr:sp>
    <xdr:clientData/>
  </xdr:twoCellAnchor>
  <xdr:twoCellAnchor editAs="absolute">
    <xdr:from>
      <xdr:col>1</xdr:col>
      <xdr:colOff>781911</xdr:colOff>
      <xdr:row>4</xdr:row>
      <xdr:rowOff>4088695</xdr:rowOff>
    </xdr:from>
    <xdr:to>
      <xdr:col>1</xdr:col>
      <xdr:colOff>1177488</xdr:colOff>
      <xdr:row>4</xdr:row>
      <xdr:rowOff>4289572</xdr:rowOff>
    </xdr:to>
    <xdr:sp macro="" textlink="">
      <xdr:nvSpPr>
        <xdr:cNvPr id="19" name="Text Box 255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>
          <a:spLocks noChangeArrowheads="1"/>
        </xdr:cNvSpPr>
      </xdr:nvSpPr>
      <xdr:spPr bwMode="auto">
        <a:xfrm>
          <a:off x="1486761" y="4736395"/>
          <a:ext cx="395577" cy="2008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FB2</a:t>
          </a:r>
        </a:p>
      </xdr:txBody>
    </xdr:sp>
    <xdr:clientData/>
  </xdr:twoCellAnchor>
  <xdr:twoCellAnchor editAs="absolute">
    <xdr:from>
      <xdr:col>1</xdr:col>
      <xdr:colOff>141951</xdr:colOff>
      <xdr:row>4</xdr:row>
      <xdr:rowOff>3374489</xdr:rowOff>
    </xdr:from>
    <xdr:to>
      <xdr:col>1</xdr:col>
      <xdr:colOff>384920</xdr:colOff>
      <xdr:row>4</xdr:row>
      <xdr:rowOff>3588894</xdr:rowOff>
    </xdr:to>
    <xdr:sp macro="" textlink="">
      <xdr:nvSpPr>
        <xdr:cNvPr id="20" name="Text Box 256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>
          <a:spLocks noChangeArrowheads="1"/>
        </xdr:cNvSpPr>
      </xdr:nvSpPr>
      <xdr:spPr bwMode="auto">
        <a:xfrm>
          <a:off x="846801" y="4022189"/>
          <a:ext cx="242969" cy="2144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C2</a:t>
          </a:r>
        </a:p>
      </xdr:txBody>
    </xdr:sp>
    <xdr:clientData/>
  </xdr:twoCellAnchor>
  <xdr:twoCellAnchor editAs="absolute">
    <xdr:from>
      <xdr:col>1</xdr:col>
      <xdr:colOff>896117</xdr:colOff>
      <xdr:row>4</xdr:row>
      <xdr:rowOff>3616323</xdr:rowOff>
    </xdr:from>
    <xdr:to>
      <xdr:col>1</xdr:col>
      <xdr:colOff>1211687</xdr:colOff>
      <xdr:row>4</xdr:row>
      <xdr:rowOff>3860361</xdr:rowOff>
    </xdr:to>
    <xdr:sp macro="" textlink="">
      <xdr:nvSpPr>
        <xdr:cNvPr id="21" name="Text Box 257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>
          <a:spLocks noChangeArrowheads="1"/>
        </xdr:cNvSpPr>
      </xdr:nvSpPr>
      <xdr:spPr bwMode="auto">
        <a:xfrm>
          <a:off x="1600967" y="4264023"/>
          <a:ext cx="315570" cy="2440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 editAs="absolute">
    <xdr:from>
      <xdr:col>1</xdr:col>
      <xdr:colOff>853558</xdr:colOff>
      <xdr:row>4</xdr:row>
      <xdr:rowOff>3233968</xdr:rowOff>
    </xdr:from>
    <xdr:to>
      <xdr:col>1</xdr:col>
      <xdr:colOff>1162413</xdr:colOff>
      <xdr:row>4</xdr:row>
      <xdr:rowOff>3477474</xdr:rowOff>
    </xdr:to>
    <xdr:sp macro="" textlink="">
      <xdr:nvSpPr>
        <xdr:cNvPr id="22" name="Text Box 258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>
          <a:spLocks noChangeArrowheads="1"/>
        </xdr:cNvSpPr>
      </xdr:nvSpPr>
      <xdr:spPr bwMode="auto">
        <a:xfrm>
          <a:off x="1558408" y="3881668"/>
          <a:ext cx="308855" cy="2435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u="none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</a:p>
      </xdr:txBody>
    </xdr:sp>
    <xdr:clientData/>
  </xdr:twoCellAnchor>
  <xdr:twoCellAnchor editAs="absolute">
    <xdr:from>
      <xdr:col>1</xdr:col>
      <xdr:colOff>9479</xdr:colOff>
      <xdr:row>4</xdr:row>
      <xdr:rowOff>2563366</xdr:rowOff>
    </xdr:from>
    <xdr:to>
      <xdr:col>1</xdr:col>
      <xdr:colOff>693342</xdr:colOff>
      <xdr:row>4</xdr:row>
      <xdr:rowOff>2808011</xdr:rowOff>
    </xdr:to>
    <xdr:sp macro="" textlink="'Variable Management'!B471">
      <xdr:nvSpPr>
        <xdr:cNvPr id="23" name="Text Box 26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14329" y="3211066"/>
          <a:ext cx="683863" cy="244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50E25BC-E8CF-448B-A92C-74321B73BB8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270pF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0</xdr:col>
      <xdr:colOff>657225</xdr:colOff>
      <xdr:row>4</xdr:row>
      <xdr:rowOff>3643067</xdr:rowOff>
    </xdr:from>
    <xdr:to>
      <xdr:col>1</xdr:col>
      <xdr:colOff>372581</xdr:colOff>
      <xdr:row>4</xdr:row>
      <xdr:rowOff>3918625</xdr:rowOff>
    </xdr:to>
    <xdr:sp macro="" textlink="'Variable Management'!B443">
      <xdr:nvSpPr>
        <xdr:cNvPr id="24" name="Text Box 26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57225" y="4290767"/>
          <a:ext cx="420206" cy="2755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2D8520E2-C481-4B17-83BA-3FA209B7A03A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1000pF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815405</xdr:colOff>
      <xdr:row>4</xdr:row>
      <xdr:rowOff>3430362</xdr:rowOff>
    </xdr:from>
    <xdr:to>
      <xdr:col>1</xdr:col>
      <xdr:colOff>1274852</xdr:colOff>
      <xdr:row>4</xdr:row>
      <xdr:rowOff>3673901</xdr:rowOff>
    </xdr:to>
    <xdr:sp macro="" textlink="'Variable Management'!B441">
      <xdr:nvSpPr>
        <xdr:cNvPr id="25" name="Text Box 263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520255" y="4078062"/>
          <a:ext cx="459447" cy="2435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EDB14F34-7391-4353-9626-FAE030CE211F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6.19kΩ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720709</xdr:colOff>
      <xdr:row>4</xdr:row>
      <xdr:rowOff>4291195</xdr:rowOff>
    </xdr:from>
    <xdr:to>
      <xdr:col>1</xdr:col>
      <xdr:colOff>1235548</xdr:colOff>
      <xdr:row>4</xdr:row>
      <xdr:rowOff>4465831</xdr:rowOff>
    </xdr:to>
    <xdr:sp macro="" textlink="'Variable Management'!B452">
      <xdr:nvSpPr>
        <xdr:cNvPr id="26" name="Text Box 264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25559" y="4938895"/>
          <a:ext cx="514839" cy="1746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4143709D-01BC-4A19-AF00-5C62DAE21E0B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20kΩ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35144</xdr:colOff>
      <xdr:row>4</xdr:row>
      <xdr:rowOff>2143786</xdr:rowOff>
    </xdr:from>
    <xdr:to>
      <xdr:col>1</xdr:col>
      <xdr:colOff>715810</xdr:colOff>
      <xdr:row>4</xdr:row>
      <xdr:rowOff>2403758</xdr:rowOff>
    </xdr:to>
    <xdr:sp macro="" textlink="'Variable Management'!B469">
      <xdr:nvSpPr>
        <xdr:cNvPr id="27" name="Text Box 265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39994" y="2791486"/>
          <a:ext cx="680666" cy="259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30247B59-D142-4194-9028-13C083D6194C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33.2kΩ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648746</xdr:colOff>
      <xdr:row>4</xdr:row>
      <xdr:rowOff>1677960</xdr:rowOff>
    </xdr:from>
    <xdr:to>
      <xdr:col>1</xdr:col>
      <xdr:colOff>1135349</xdr:colOff>
      <xdr:row>4</xdr:row>
      <xdr:rowOff>1863090</xdr:rowOff>
    </xdr:to>
    <xdr:sp macro="" textlink="'Variable Management'!B450">
      <xdr:nvSpPr>
        <xdr:cNvPr id="28" name="Text Box 266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53596" y="2325660"/>
          <a:ext cx="486603" cy="185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F0D4FEFA-1BCB-42BA-B0A4-AAEA1128161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6802438</xdr:colOff>
      <xdr:row>4</xdr:row>
      <xdr:rowOff>2314832</xdr:rowOff>
    </xdr:from>
    <xdr:to>
      <xdr:col>1</xdr:col>
      <xdr:colOff>7303337</xdr:colOff>
      <xdr:row>4</xdr:row>
      <xdr:rowOff>2523970</xdr:rowOff>
    </xdr:to>
    <xdr:sp macro="" textlink="'Variable Management'!B433">
      <xdr:nvSpPr>
        <xdr:cNvPr id="29" name="Text Box 267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07288" y="2962532"/>
          <a:ext cx="500899" cy="2091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DEF62FD0-959B-4627-B7E8-61CA1688D174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600µF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1750147</xdr:colOff>
      <xdr:row>4</xdr:row>
      <xdr:rowOff>4625275</xdr:rowOff>
    </xdr:from>
    <xdr:to>
      <xdr:col>1</xdr:col>
      <xdr:colOff>2273580</xdr:colOff>
      <xdr:row>4</xdr:row>
      <xdr:rowOff>4918364</xdr:rowOff>
    </xdr:to>
    <xdr:sp macro="" textlink="'Variable Management'!B451">
      <xdr:nvSpPr>
        <xdr:cNvPr id="30" name="Text Box 268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454997" y="5272975"/>
          <a:ext cx="523433" cy="2930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DE4FB3C5-779F-4472-8885-3DB2A25A3AD8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280kΩ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7863577</xdr:colOff>
      <xdr:row>4</xdr:row>
      <xdr:rowOff>1170730</xdr:rowOff>
    </xdr:from>
    <xdr:to>
      <xdr:col>1</xdr:col>
      <xdr:colOff>8405722</xdr:colOff>
      <xdr:row>4</xdr:row>
      <xdr:rowOff>1375908</xdr:rowOff>
    </xdr:to>
    <xdr:sp macro="" textlink="'Variable Management'!B464">
      <xdr:nvSpPr>
        <xdr:cNvPr id="31" name="Text Box 274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568427" y="1818430"/>
          <a:ext cx="542145" cy="2051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14CFEDF3-9A5F-4A24-9D5F-304E5DC1B6C6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ctr" rtl="0">
              <a:defRPr sz="1000"/>
            </a:pPr>
            <a:t>4.2mΩ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6539066</xdr:colOff>
      <xdr:row>4</xdr:row>
      <xdr:rowOff>1499397</xdr:rowOff>
    </xdr:from>
    <xdr:to>
      <xdr:col>1</xdr:col>
      <xdr:colOff>6987309</xdr:colOff>
      <xdr:row>4</xdr:row>
      <xdr:rowOff>1708490</xdr:rowOff>
    </xdr:to>
    <xdr:sp macro="" textlink="'Variable Management'!B426">
      <xdr:nvSpPr>
        <xdr:cNvPr id="32" name="Text Box 27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243916" y="2147097"/>
          <a:ext cx="448243" cy="2090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08583DE7-3129-476B-98BE-2887A134E956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4.7µH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6311714</xdr:colOff>
      <xdr:row>4</xdr:row>
      <xdr:rowOff>2301177</xdr:rowOff>
    </xdr:from>
    <xdr:to>
      <xdr:col>1</xdr:col>
      <xdr:colOff>6784061</xdr:colOff>
      <xdr:row>4</xdr:row>
      <xdr:rowOff>2524893</xdr:rowOff>
    </xdr:to>
    <xdr:sp macro="" textlink="'Variable Management'!B437">
      <xdr:nvSpPr>
        <xdr:cNvPr id="33" name="Text Box 276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016564" y="2948877"/>
          <a:ext cx="472347" cy="2237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7E8F3901-1453-4951-8E28-510E65401D4C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3505332</xdr:colOff>
      <xdr:row>4</xdr:row>
      <xdr:rowOff>145674</xdr:rowOff>
    </xdr:from>
    <xdr:to>
      <xdr:col>1</xdr:col>
      <xdr:colOff>3874809</xdr:colOff>
      <xdr:row>4</xdr:row>
      <xdr:rowOff>381789</xdr:rowOff>
    </xdr:to>
    <xdr:sp macro="" textlink="">
      <xdr:nvSpPr>
        <xdr:cNvPr id="34" name="Text Box 279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>
          <a:spLocks noChangeArrowheads="1"/>
        </xdr:cNvSpPr>
      </xdr:nvSpPr>
      <xdr:spPr bwMode="auto">
        <a:xfrm>
          <a:off x="4210182" y="793374"/>
          <a:ext cx="369477" cy="2361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1006694</xdr:colOff>
      <xdr:row>4</xdr:row>
      <xdr:rowOff>2949980</xdr:rowOff>
    </xdr:from>
    <xdr:to>
      <xdr:col>1</xdr:col>
      <xdr:colOff>1444337</xdr:colOff>
      <xdr:row>4</xdr:row>
      <xdr:rowOff>3184830</xdr:rowOff>
    </xdr:to>
    <xdr:sp macro="" textlink="'Variable Management'!B470">
      <xdr:nvSpPr>
        <xdr:cNvPr id="35" name="Text Box 28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711544" y="3597680"/>
          <a:ext cx="437643" cy="23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7460045-3ADA-4E36-A50B-8C5C548E137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8287206</xdr:colOff>
      <xdr:row>4</xdr:row>
      <xdr:rowOff>976516</xdr:rowOff>
    </xdr:from>
    <xdr:to>
      <xdr:col>1</xdr:col>
      <xdr:colOff>8765869</xdr:colOff>
      <xdr:row>4</xdr:row>
      <xdr:rowOff>1221128</xdr:rowOff>
    </xdr:to>
    <xdr:sp macro="" textlink="'Variable Management'!B431">
      <xdr:nvSpPr>
        <xdr:cNvPr id="36" name="Text Box 28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92056" y="1624216"/>
          <a:ext cx="478663" cy="244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702C2B8A-7C4B-4FDB-B229-3170089D9686}" type="TxLink">
            <a:rPr lang="en-US" sz="1200" b="1" i="0" u="none" strike="noStrike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12V</a:t>
          </a:fld>
          <a:endParaRPr lang="en-US" sz="1200" b="1" i="0" u="none" strike="noStrike" baseline="0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8272196</xdr:colOff>
      <xdr:row>4</xdr:row>
      <xdr:rowOff>1205517</xdr:rowOff>
    </xdr:from>
    <xdr:to>
      <xdr:col>1</xdr:col>
      <xdr:colOff>8725233</xdr:colOff>
      <xdr:row>4</xdr:row>
      <xdr:rowOff>1448071</xdr:rowOff>
    </xdr:to>
    <xdr:sp macro="" textlink="'Variable Management'!B473">
      <xdr:nvSpPr>
        <xdr:cNvPr id="37" name="Text Box 28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77046" y="1853217"/>
          <a:ext cx="453037" cy="2425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E0FB88FA-F39E-4ACF-AB5E-DCB628763AAE}" type="TxLink">
            <a:rPr lang="en-US" sz="1200" b="1" i="0" u="none" strike="noStrike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12A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339944</xdr:colOff>
      <xdr:row>4</xdr:row>
      <xdr:rowOff>1969229</xdr:rowOff>
    </xdr:from>
    <xdr:to>
      <xdr:col>1</xdr:col>
      <xdr:colOff>604552</xdr:colOff>
      <xdr:row>4</xdr:row>
      <xdr:rowOff>2161044</xdr:rowOff>
    </xdr:to>
    <xdr:sp macro="" textlink="">
      <xdr:nvSpPr>
        <xdr:cNvPr id="38" name="Text Box 25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>
          <a:spLocks noChangeArrowheads="1"/>
        </xdr:cNvSpPr>
      </xdr:nvSpPr>
      <xdr:spPr bwMode="auto">
        <a:xfrm>
          <a:off x="1044794" y="2616929"/>
          <a:ext cx="264608" cy="19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T</a:t>
          </a:r>
        </a:p>
      </xdr:txBody>
    </xdr:sp>
    <xdr:clientData/>
  </xdr:twoCellAnchor>
  <xdr:twoCellAnchor editAs="absolute">
    <xdr:from>
      <xdr:col>1</xdr:col>
      <xdr:colOff>2952085</xdr:colOff>
      <xdr:row>4</xdr:row>
      <xdr:rowOff>141585</xdr:rowOff>
    </xdr:from>
    <xdr:to>
      <xdr:col>1</xdr:col>
      <xdr:colOff>3413563</xdr:colOff>
      <xdr:row>4</xdr:row>
      <xdr:rowOff>365593</xdr:rowOff>
    </xdr:to>
    <xdr:sp macro="" textlink="">
      <xdr:nvSpPr>
        <xdr:cNvPr id="39" name="Text Box 247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>
          <a:spLocks noChangeArrowheads="1"/>
        </xdr:cNvSpPr>
      </xdr:nvSpPr>
      <xdr:spPr bwMode="auto">
        <a:xfrm>
          <a:off x="3656935" y="789285"/>
          <a:ext cx="461478" cy="2240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5943177</xdr:colOff>
      <xdr:row>4</xdr:row>
      <xdr:rowOff>2257233</xdr:rowOff>
    </xdr:from>
    <xdr:to>
      <xdr:col>1</xdr:col>
      <xdr:colOff>6265561</xdr:colOff>
      <xdr:row>4</xdr:row>
      <xdr:rowOff>2502483</xdr:rowOff>
    </xdr:to>
    <xdr:sp macro="" textlink="">
      <xdr:nvSpPr>
        <xdr:cNvPr id="40" name="Text Box 2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>
          <a:spLocks noChangeArrowheads="1"/>
        </xdr:cNvSpPr>
      </xdr:nvSpPr>
      <xdr:spPr bwMode="auto">
        <a:xfrm>
          <a:off x="6648027" y="2904933"/>
          <a:ext cx="322384" cy="245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 editAs="absolute">
    <xdr:from>
      <xdr:col>1</xdr:col>
      <xdr:colOff>5944154</xdr:colOff>
      <xdr:row>4</xdr:row>
      <xdr:rowOff>1381249</xdr:rowOff>
    </xdr:from>
    <xdr:to>
      <xdr:col>1</xdr:col>
      <xdr:colOff>6266538</xdr:colOff>
      <xdr:row>4</xdr:row>
      <xdr:rowOff>1647440</xdr:rowOff>
    </xdr:to>
    <xdr:sp macro="" textlink="">
      <xdr:nvSpPr>
        <xdr:cNvPr id="41" name="Text Box 244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>
          <a:spLocks noChangeArrowheads="1"/>
        </xdr:cNvSpPr>
      </xdr:nvSpPr>
      <xdr:spPr bwMode="auto">
        <a:xfrm>
          <a:off x="6649004" y="2028949"/>
          <a:ext cx="322384" cy="2661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 editAs="absolute">
    <xdr:from>
      <xdr:col>1</xdr:col>
      <xdr:colOff>6867893</xdr:colOff>
      <xdr:row>4</xdr:row>
      <xdr:rowOff>3140812</xdr:rowOff>
    </xdr:from>
    <xdr:to>
      <xdr:col>1</xdr:col>
      <xdr:colOff>7347524</xdr:colOff>
      <xdr:row>4</xdr:row>
      <xdr:rowOff>3411874</xdr:rowOff>
    </xdr:to>
    <xdr:sp macro="" textlink="'Variable Management'!B428">
      <xdr:nvSpPr>
        <xdr:cNvPr id="42" name="Text Box 275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72743" y="3788512"/>
          <a:ext cx="479631" cy="2710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952677B8-8C18-463F-B0C9-D2099A1EBA1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4mΩ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254219</xdr:colOff>
      <xdr:row>4</xdr:row>
      <xdr:rowOff>2371224</xdr:rowOff>
    </xdr:from>
    <xdr:to>
      <xdr:col>1</xdr:col>
      <xdr:colOff>687280</xdr:colOff>
      <xdr:row>4</xdr:row>
      <xdr:rowOff>2607535</xdr:rowOff>
    </xdr:to>
    <xdr:sp macro="" textlink="">
      <xdr:nvSpPr>
        <xdr:cNvPr id="43" name="Text Box 25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>
          <a:spLocks noChangeArrowheads="1"/>
        </xdr:cNvSpPr>
      </xdr:nvSpPr>
      <xdr:spPr bwMode="auto">
        <a:xfrm>
          <a:off x="959069" y="3018924"/>
          <a:ext cx="433061" cy="2363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SLOPE</a:t>
          </a:r>
        </a:p>
      </xdr:txBody>
    </xdr:sp>
    <xdr:clientData/>
  </xdr:twoCellAnchor>
  <xdr:twoCellAnchor editAs="absolute">
    <xdr:from>
      <xdr:col>1</xdr:col>
      <xdr:colOff>5510442</xdr:colOff>
      <xdr:row>4</xdr:row>
      <xdr:rowOff>3213286</xdr:rowOff>
    </xdr:from>
    <xdr:to>
      <xdr:col>1</xdr:col>
      <xdr:colOff>5917925</xdr:colOff>
      <xdr:row>4</xdr:row>
      <xdr:rowOff>3457653</xdr:rowOff>
    </xdr:to>
    <xdr:sp macro="" textlink="">
      <xdr:nvSpPr>
        <xdr:cNvPr id="44" name="Text Box 248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>
          <a:spLocks noChangeArrowheads="1"/>
        </xdr:cNvSpPr>
      </xdr:nvSpPr>
      <xdr:spPr bwMode="auto">
        <a:xfrm>
          <a:off x="6215292" y="3860986"/>
          <a:ext cx="407483" cy="2443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4880097</xdr:colOff>
      <xdr:row>4</xdr:row>
      <xdr:rowOff>3616355</xdr:rowOff>
    </xdr:from>
    <xdr:to>
      <xdr:col>1</xdr:col>
      <xdr:colOff>5341575</xdr:colOff>
      <xdr:row>4</xdr:row>
      <xdr:rowOff>3867177</xdr:rowOff>
    </xdr:to>
    <xdr:sp macro="" textlink="">
      <xdr:nvSpPr>
        <xdr:cNvPr id="45" name="Text Box 247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>
          <a:spLocks noChangeArrowheads="1"/>
        </xdr:cNvSpPr>
      </xdr:nvSpPr>
      <xdr:spPr bwMode="auto">
        <a:xfrm>
          <a:off x="5584947" y="4264055"/>
          <a:ext cx="461478" cy="2508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4940561</xdr:colOff>
      <xdr:row>4</xdr:row>
      <xdr:rowOff>3828330</xdr:rowOff>
    </xdr:from>
    <xdr:to>
      <xdr:col>1</xdr:col>
      <xdr:colOff>5310038</xdr:colOff>
      <xdr:row>4</xdr:row>
      <xdr:rowOff>4055655</xdr:rowOff>
    </xdr:to>
    <xdr:sp macro="" textlink="">
      <xdr:nvSpPr>
        <xdr:cNvPr id="46" name="Text Box 279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>
          <a:spLocks noChangeArrowheads="1"/>
        </xdr:cNvSpPr>
      </xdr:nvSpPr>
      <xdr:spPr bwMode="auto">
        <a:xfrm>
          <a:off x="5645411" y="4476030"/>
          <a:ext cx="369477" cy="227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5094928</xdr:colOff>
      <xdr:row>4</xdr:row>
      <xdr:rowOff>2377424</xdr:rowOff>
    </xdr:from>
    <xdr:to>
      <xdr:col>1</xdr:col>
      <xdr:colOff>5365431</xdr:colOff>
      <xdr:row>4</xdr:row>
      <xdr:rowOff>2614453</xdr:rowOff>
    </xdr:to>
    <xdr:sp macro="" textlink="">
      <xdr:nvSpPr>
        <xdr:cNvPr id="47" name="Text Box 279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>
          <a:spLocks noChangeArrowheads="1"/>
        </xdr:cNvSpPr>
      </xdr:nvSpPr>
      <xdr:spPr bwMode="auto">
        <a:xfrm>
          <a:off x="5799778" y="3025124"/>
          <a:ext cx="270503" cy="2370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2444899</xdr:colOff>
      <xdr:row>4</xdr:row>
      <xdr:rowOff>38100</xdr:rowOff>
    </xdr:from>
    <xdr:to>
      <xdr:col>1</xdr:col>
      <xdr:colOff>2821188</xdr:colOff>
      <xdr:row>4</xdr:row>
      <xdr:rowOff>273769</xdr:rowOff>
    </xdr:to>
    <xdr:sp macro="" textlink="">
      <xdr:nvSpPr>
        <xdr:cNvPr id="48" name="Text Box 279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>
          <a:spLocks noChangeArrowheads="1"/>
        </xdr:cNvSpPr>
      </xdr:nvSpPr>
      <xdr:spPr bwMode="auto">
        <a:xfrm>
          <a:off x="3149749" y="685800"/>
          <a:ext cx="376289" cy="2356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2144579</xdr:colOff>
      <xdr:row>4</xdr:row>
      <xdr:rowOff>478502</xdr:rowOff>
    </xdr:from>
    <xdr:to>
      <xdr:col>1</xdr:col>
      <xdr:colOff>2471641</xdr:colOff>
      <xdr:row>4</xdr:row>
      <xdr:rowOff>705632</xdr:rowOff>
    </xdr:to>
    <xdr:sp macro="" textlink="">
      <xdr:nvSpPr>
        <xdr:cNvPr id="49" name="Text Box 24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>
          <a:spLocks noChangeArrowheads="1"/>
        </xdr:cNvSpPr>
      </xdr:nvSpPr>
      <xdr:spPr bwMode="auto">
        <a:xfrm>
          <a:off x="2849429" y="1126202"/>
          <a:ext cx="327062" cy="227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2451906</xdr:colOff>
      <xdr:row>4</xdr:row>
      <xdr:rowOff>498798</xdr:rowOff>
    </xdr:from>
    <xdr:to>
      <xdr:col>1</xdr:col>
      <xdr:colOff>2822138</xdr:colOff>
      <xdr:row>4</xdr:row>
      <xdr:rowOff>722941</xdr:rowOff>
    </xdr:to>
    <xdr:sp macro="" textlink="">
      <xdr:nvSpPr>
        <xdr:cNvPr id="50" name="Text Box 277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>
          <a:spLocks noChangeArrowheads="1"/>
        </xdr:cNvSpPr>
      </xdr:nvSpPr>
      <xdr:spPr bwMode="auto">
        <a:xfrm>
          <a:off x="3156756" y="1146498"/>
          <a:ext cx="370232" cy="224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2Ω</a:t>
          </a:r>
        </a:p>
      </xdr:txBody>
    </xdr:sp>
    <xdr:clientData/>
  </xdr:twoCellAnchor>
  <xdr:twoCellAnchor editAs="absolute">
    <xdr:from>
      <xdr:col>1</xdr:col>
      <xdr:colOff>4627899</xdr:colOff>
      <xdr:row>4</xdr:row>
      <xdr:rowOff>4758188</xdr:rowOff>
    </xdr:from>
    <xdr:to>
      <xdr:col>1</xdr:col>
      <xdr:colOff>4940204</xdr:colOff>
      <xdr:row>4</xdr:row>
      <xdr:rowOff>4983266</xdr:rowOff>
    </xdr:to>
    <xdr:sp macro="" textlink="">
      <xdr:nvSpPr>
        <xdr:cNvPr id="51" name="Text Box 2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>
          <a:spLocks noChangeArrowheads="1"/>
        </xdr:cNvSpPr>
      </xdr:nvSpPr>
      <xdr:spPr bwMode="auto">
        <a:xfrm>
          <a:off x="5332749" y="5405888"/>
          <a:ext cx="312305" cy="2250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CS2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2028048</xdr:colOff>
      <xdr:row>4</xdr:row>
      <xdr:rowOff>51537</xdr:rowOff>
    </xdr:from>
    <xdr:to>
      <xdr:col>1</xdr:col>
      <xdr:colOff>2352330</xdr:colOff>
      <xdr:row>4</xdr:row>
      <xdr:rowOff>270228</xdr:rowOff>
    </xdr:to>
    <xdr:sp macro="" textlink="">
      <xdr:nvSpPr>
        <xdr:cNvPr id="52" name="Text Box 245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>
          <a:spLocks noChangeArrowheads="1"/>
        </xdr:cNvSpPr>
      </xdr:nvSpPr>
      <xdr:spPr bwMode="auto">
        <a:xfrm>
          <a:off x="2732898" y="699237"/>
          <a:ext cx="324282" cy="2186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7319710</xdr:colOff>
      <xdr:row>4</xdr:row>
      <xdr:rowOff>2253494</xdr:rowOff>
    </xdr:from>
    <xdr:to>
      <xdr:col>1</xdr:col>
      <xdr:colOff>7598272</xdr:colOff>
      <xdr:row>4</xdr:row>
      <xdr:rowOff>2543864</xdr:rowOff>
    </xdr:to>
    <xdr:sp macro="" textlink="">
      <xdr:nvSpPr>
        <xdr:cNvPr id="53" name="Text Box 244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>
          <a:spLocks noChangeArrowheads="1"/>
        </xdr:cNvSpPr>
      </xdr:nvSpPr>
      <xdr:spPr bwMode="auto">
        <a:xfrm>
          <a:off x="8024560" y="2901194"/>
          <a:ext cx="278562" cy="2903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 editAs="absolute">
    <xdr:from>
      <xdr:col>1</xdr:col>
      <xdr:colOff>7311161</xdr:colOff>
      <xdr:row>4</xdr:row>
      <xdr:rowOff>1379784</xdr:rowOff>
    </xdr:from>
    <xdr:to>
      <xdr:col>1</xdr:col>
      <xdr:colOff>7590944</xdr:colOff>
      <xdr:row>4</xdr:row>
      <xdr:rowOff>1643701</xdr:rowOff>
    </xdr:to>
    <xdr:sp macro="" textlink="">
      <xdr:nvSpPr>
        <xdr:cNvPr id="54" name="Text Box 244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>
          <a:spLocks noChangeArrowheads="1"/>
        </xdr:cNvSpPr>
      </xdr:nvSpPr>
      <xdr:spPr bwMode="auto">
        <a:xfrm>
          <a:off x="8016011" y="2027484"/>
          <a:ext cx="279783" cy="263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 editAs="absolute">
    <xdr:from>
      <xdr:col>1</xdr:col>
      <xdr:colOff>663203</xdr:colOff>
      <xdr:row>4</xdr:row>
      <xdr:rowOff>3821721</xdr:rowOff>
    </xdr:from>
    <xdr:to>
      <xdr:col>1</xdr:col>
      <xdr:colOff>1167405</xdr:colOff>
      <xdr:row>4</xdr:row>
      <xdr:rowOff>4065124</xdr:rowOff>
    </xdr:to>
    <xdr:sp macro="" textlink="'Variable Management'!B442">
      <xdr:nvSpPr>
        <xdr:cNvPr id="55" name="Text Box 261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68053" y="4469421"/>
          <a:ext cx="504202" cy="2434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9060F6D-CAA3-48E6-BAE7-37C16D6980D0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33nF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4854635</xdr:colOff>
      <xdr:row>4</xdr:row>
      <xdr:rowOff>4479932</xdr:rowOff>
    </xdr:from>
    <xdr:to>
      <xdr:col>1</xdr:col>
      <xdr:colOff>5248259</xdr:colOff>
      <xdr:row>4</xdr:row>
      <xdr:rowOff>4712952</xdr:rowOff>
    </xdr:to>
    <xdr:sp macro="" textlink="'Variable Management'!B467">
      <xdr:nvSpPr>
        <xdr:cNvPr id="56" name="Text Box 270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559485" y="5127632"/>
          <a:ext cx="393624" cy="233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62E2AFC2-CB14-431A-99E1-2EF4D5A6CD34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 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1654331</xdr:colOff>
      <xdr:row>4</xdr:row>
      <xdr:rowOff>420739</xdr:rowOff>
    </xdr:from>
    <xdr:to>
      <xdr:col>1</xdr:col>
      <xdr:colOff>2003826</xdr:colOff>
      <xdr:row>4</xdr:row>
      <xdr:rowOff>662384</xdr:rowOff>
    </xdr:to>
    <xdr:sp macro="" textlink="">
      <xdr:nvSpPr>
        <xdr:cNvPr id="57" name="Text Box 248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>
          <a:spLocks noChangeArrowheads="1"/>
        </xdr:cNvSpPr>
      </xdr:nvSpPr>
      <xdr:spPr bwMode="auto">
        <a:xfrm>
          <a:off x="2359181" y="1068439"/>
          <a:ext cx="349495" cy="241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6290995</xdr:colOff>
      <xdr:row>4</xdr:row>
      <xdr:rowOff>996921</xdr:rowOff>
    </xdr:from>
    <xdr:to>
      <xdr:col>1</xdr:col>
      <xdr:colOff>7281596</xdr:colOff>
      <xdr:row>4</xdr:row>
      <xdr:rowOff>1257170</xdr:rowOff>
    </xdr:to>
    <xdr:sp macro="" textlink="'Variable Management'!B475">
      <xdr:nvSpPr>
        <xdr:cNvPr id="58" name="Text Box 283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995845" y="1644621"/>
          <a:ext cx="990601" cy="2602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B114F7CE-60BB-40BD-BD7F-B22E7592FFCF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6V...36V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713956</xdr:colOff>
      <xdr:row>4</xdr:row>
      <xdr:rowOff>1507243</xdr:rowOff>
    </xdr:from>
    <xdr:to>
      <xdr:col>1</xdr:col>
      <xdr:colOff>1196832</xdr:colOff>
      <xdr:row>4</xdr:row>
      <xdr:rowOff>1692372</xdr:rowOff>
    </xdr:to>
    <xdr:sp macro="" textlink="'Variable Management'!C450">
      <xdr:nvSpPr>
        <xdr:cNvPr id="59" name="Text Box 26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18806" y="2154943"/>
          <a:ext cx="482876" cy="1851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DF2A2C16-623E-4E51-B82E-2B3F1562B3CF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1741435</xdr:colOff>
      <xdr:row>7</xdr:row>
      <xdr:rowOff>4459217</xdr:rowOff>
    </xdr:from>
    <xdr:to>
      <xdr:col>1</xdr:col>
      <xdr:colOff>2083824</xdr:colOff>
      <xdr:row>7</xdr:row>
      <xdr:rowOff>4720777</xdr:rowOff>
    </xdr:to>
    <xdr:sp macro="" textlink="">
      <xdr:nvSpPr>
        <xdr:cNvPr id="60" name="Text Box 225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>
          <a:spLocks noChangeArrowheads="1"/>
        </xdr:cNvSpPr>
      </xdr:nvSpPr>
      <xdr:spPr bwMode="auto">
        <a:xfrm>
          <a:off x="2446285" y="10688567"/>
          <a:ext cx="342389" cy="261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FB1</a:t>
          </a:r>
        </a:p>
      </xdr:txBody>
    </xdr:sp>
    <xdr:clientData/>
  </xdr:twoCellAnchor>
  <xdr:twoCellAnchor editAs="absolute">
    <xdr:from>
      <xdr:col>1</xdr:col>
      <xdr:colOff>6856439</xdr:colOff>
      <xdr:row>7</xdr:row>
      <xdr:rowOff>2104957</xdr:rowOff>
    </xdr:from>
    <xdr:to>
      <xdr:col>1</xdr:col>
      <xdr:colOff>7240372</xdr:colOff>
      <xdr:row>7</xdr:row>
      <xdr:rowOff>2333307</xdr:rowOff>
    </xdr:to>
    <xdr:sp macro="" textlink="">
      <xdr:nvSpPr>
        <xdr:cNvPr id="61" name="Text Box 22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>
          <a:spLocks noChangeArrowheads="1"/>
        </xdr:cNvSpPr>
      </xdr:nvSpPr>
      <xdr:spPr bwMode="auto">
        <a:xfrm>
          <a:off x="7561289" y="8334307"/>
          <a:ext cx="383933" cy="228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OUT</a:t>
          </a:r>
        </a:p>
      </xdr:txBody>
    </xdr:sp>
    <xdr:clientData/>
  </xdr:twoCellAnchor>
  <xdr:twoCellAnchor editAs="absolute">
    <xdr:from>
      <xdr:col>1</xdr:col>
      <xdr:colOff>7914727</xdr:colOff>
      <xdr:row>7</xdr:row>
      <xdr:rowOff>995107</xdr:rowOff>
    </xdr:from>
    <xdr:to>
      <xdr:col>1</xdr:col>
      <xdr:colOff>8390563</xdr:colOff>
      <xdr:row>7</xdr:row>
      <xdr:rowOff>1239091</xdr:rowOff>
    </xdr:to>
    <xdr:sp macro="" textlink="">
      <xdr:nvSpPr>
        <xdr:cNvPr id="62" name="Text Box 23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>
          <a:spLocks noChangeArrowheads="1"/>
        </xdr:cNvSpPr>
      </xdr:nvSpPr>
      <xdr:spPr bwMode="auto">
        <a:xfrm>
          <a:off x="8619577" y="7224457"/>
          <a:ext cx="475836" cy="2439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CS(out)</a:t>
          </a:r>
        </a:p>
      </xdr:txBody>
    </xdr:sp>
    <xdr:clientData/>
  </xdr:twoCellAnchor>
  <xdr:twoCellAnchor editAs="absolute">
    <xdr:from>
      <xdr:col>1</xdr:col>
      <xdr:colOff>3248284</xdr:colOff>
      <xdr:row>7</xdr:row>
      <xdr:rowOff>4351349</xdr:rowOff>
    </xdr:from>
    <xdr:to>
      <xdr:col>1</xdr:col>
      <xdr:colOff>3522445</xdr:colOff>
      <xdr:row>7</xdr:row>
      <xdr:rowOff>4599731</xdr:rowOff>
    </xdr:to>
    <xdr:sp macro="" textlink="">
      <xdr:nvSpPr>
        <xdr:cNvPr id="63" name="Text Box 233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>
          <a:spLocks noChangeArrowheads="1"/>
        </xdr:cNvSpPr>
      </xdr:nvSpPr>
      <xdr:spPr bwMode="auto">
        <a:xfrm>
          <a:off x="3953134" y="10580699"/>
          <a:ext cx="274161" cy="2483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 editAs="absolute">
    <xdr:from>
      <xdr:col>1</xdr:col>
      <xdr:colOff>6888908</xdr:colOff>
      <xdr:row>7</xdr:row>
      <xdr:rowOff>2980875</xdr:rowOff>
    </xdr:from>
    <xdr:to>
      <xdr:col>1</xdr:col>
      <xdr:colOff>7132769</xdr:colOff>
      <xdr:row>7</xdr:row>
      <xdr:rowOff>3202171</xdr:rowOff>
    </xdr:to>
    <xdr:sp macro="" textlink="">
      <xdr:nvSpPr>
        <xdr:cNvPr id="64" name="Text Box 234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>
          <a:spLocks noChangeArrowheads="1"/>
        </xdr:cNvSpPr>
      </xdr:nvSpPr>
      <xdr:spPr bwMode="auto">
        <a:xfrm>
          <a:off x="7593758" y="9210225"/>
          <a:ext cx="243861" cy="221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</a:t>
          </a:r>
        </a:p>
      </xdr:txBody>
    </xdr:sp>
    <xdr:clientData/>
  </xdr:twoCellAnchor>
  <xdr:twoCellAnchor editAs="absolute">
    <xdr:from>
      <xdr:col>1</xdr:col>
      <xdr:colOff>6587606</xdr:colOff>
      <xdr:row>7</xdr:row>
      <xdr:rowOff>1279450</xdr:rowOff>
    </xdr:from>
    <xdr:to>
      <xdr:col>1</xdr:col>
      <xdr:colOff>6927606</xdr:colOff>
      <xdr:row>7</xdr:row>
      <xdr:rowOff>1557155</xdr:rowOff>
    </xdr:to>
    <xdr:sp macro="" textlink="">
      <xdr:nvSpPr>
        <xdr:cNvPr id="65" name="Text Box 235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>
          <a:spLocks noChangeArrowheads="1"/>
        </xdr:cNvSpPr>
      </xdr:nvSpPr>
      <xdr:spPr bwMode="auto">
        <a:xfrm>
          <a:off x="7292456" y="7508800"/>
          <a:ext cx="340000" cy="2777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L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 editAs="absolute">
    <xdr:from>
      <xdr:col>1</xdr:col>
      <xdr:colOff>3609213</xdr:colOff>
      <xdr:row>7</xdr:row>
      <xdr:rowOff>4549938</xdr:rowOff>
    </xdr:from>
    <xdr:to>
      <xdr:col>1</xdr:col>
      <xdr:colOff>4015912</xdr:colOff>
      <xdr:row>7</xdr:row>
      <xdr:rowOff>4797862</xdr:rowOff>
    </xdr:to>
    <xdr:sp macro="" textlink="">
      <xdr:nvSpPr>
        <xdr:cNvPr id="66" name="Text Box 243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>
          <a:spLocks noChangeArrowheads="1"/>
        </xdr:cNvSpPr>
      </xdr:nvSpPr>
      <xdr:spPr bwMode="auto">
        <a:xfrm>
          <a:off x="4314063" y="10779288"/>
          <a:ext cx="406699" cy="2479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100pF</a:t>
          </a:r>
        </a:p>
      </xdr:txBody>
    </xdr:sp>
    <xdr:clientData/>
  </xdr:twoCellAnchor>
  <xdr:twoCellAnchor editAs="absolute">
    <xdr:from>
      <xdr:col>1</xdr:col>
      <xdr:colOff>6345478</xdr:colOff>
      <xdr:row>7</xdr:row>
      <xdr:rowOff>2131317</xdr:rowOff>
    </xdr:from>
    <xdr:to>
      <xdr:col>1</xdr:col>
      <xdr:colOff>6670916</xdr:colOff>
      <xdr:row>7</xdr:row>
      <xdr:rowOff>2357563</xdr:rowOff>
    </xdr:to>
    <xdr:sp macro="" textlink="">
      <xdr:nvSpPr>
        <xdr:cNvPr id="67" name="Text Box 244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>
          <a:spLocks noChangeArrowheads="1"/>
        </xdr:cNvSpPr>
      </xdr:nvSpPr>
      <xdr:spPr bwMode="auto">
        <a:xfrm>
          <a:off x="7050328" y="8360667"/>
          <a:ext cx="325438" cy="2262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IN</a:t>
          </a:r>
        </a:p>
      </xdr:txBody>
    </xdr:sp>
    <xdr:clientData/>
  </xdr:twoCellAnchor>
  <xdr:twoCellAnchor editAs="absolute">
    <xdr:from>
      <xdr:col>1</xdr:col>
      <xdr:colOff>3985001</xdr:colOff>
      <xdr:row>7</xdr:row>
      <xdr:rowOff>79131</xdr:rowOff>
    </xdr:from>
    <xdr:to>
      <xdr:col>1</xdr:col>
      <xdr:colOff>4393844</xdr:colOff>
      <xdr:row>7</xdr:row>
      <xdr:rowOff>320775</xdr:rowOff>
    </xdr:to>
    <xdr:sp macro="" textlink="">
      <xdr:nvSpPr>
        <xdr:cNvPr id="68" name="Text Box 248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>
          <a:spLocks noChangeArrowheads="1"/>
        </xdr:cNvSpPr>
      </xdr:nvSpPr>
      <xdr:spPr bwMode="auto">
        <a:xfrm>
          <a:off x="4689851" y="6308481"/>
          <a:ext cx="408843" cy="2416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5069341</xdr:colOff>
      <xdr:row>7</xdr:row>
      <xdr:rowOff>2117850</xdr:rowOff>
    </xdr:from>
    <xdr:to>
      <xdr:col>1</xdr:col>
      <xdr:colOff>5444036</xdr:colOff>
      <xdr:row>7</xdr:row>
      <xdr:rowOff>2368121</xdr:rowOff>
    </xdr:to>
    <xdr:sp macro="" textlink="">
      <xdr:nvSpPr>
        <xdr:cNvPr id="69" name="Text Box 249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>
          <a:spLocks noChangeArrowheads="1"/>
        </xdr:cNvSpPr>
      </xdr:nvSpPr>
      <xdr:spPr bwMode="auto">
        <a:xfrm>
          <a:off x="5774191" y="8347200"/>
          <a:ext cx="374695" cy="2502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VCC</a:t>
          </a:r>
        </a:p>
      </xdr:txBody>
    </xdr:sp>
    <xdr:clientData/>
  </xdr:twoCellAnchor>
  <xdr:twoCellAnchor editAs="absolute">
    <xdr:from>
      <xdr:col>1</xdr:col>
      <xdr:colOff>4599220</xdr:colOff>
      <xdr:row>7</xdr:row>
      <xdr:rowOff>4181156</xdr:rowOff>
    </xdr:from>
    <xdr:to>
      <xdr:col>1</xdr:col>
      <xdr:colOff>4910059</xdr:colOff>
      <xdr:row>7</xdr:row>
      <xdr:rowOff>4413246</xdr:rowOff>
    </xdr:to>
    <xdr:sp macro="" textlink="">
      <xdr:nvSpPr>
        <xdr:cNvPr id="70" name="Text Box 250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>
          <a:spLocks noChangeArrowheads="1"/>
        </xdr:cNvSpPr>
      </xdr:nvSpPr>
      <xdr:spPr bwMode="auto">
        <a:xfrm>
          <a:off x="5304070" y="10410506"/>
          <a:ext cx="310839" cy="2320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CS1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1023436</xdr:colOff>
      <xdr:row>7</xdr:row>
      <xdr:rowOff>2758635</xdr:rowOff>
    </xdr:from>
    <xdr:to>
      <xdr:col>1</xdr:col>
      <xdr:colOff>1350592</xdr:colOff>
      <xdr:row>7</xdr:row>
      <xdr:rowOff>3014259</xdr:rowOff>
    </xdr:to>
    <xdr:sp macro="" textlink="">
      <xdr:nvSpPr>
        <xdr:cNvPr id="71" name="Text Box 251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>
          <a:spLocks noChangeArrowheads="1"/>
        </xdr:cNvSpPr>
      </xdr:nvSpPr>
      <xdr:spPr bwMode="auto">
        <a:xfrm>
          <a:off x="1728286" y="8987985"/>
          <a:ext cx="327156" cy="2556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SS</a:t>
          </a:r>
        </a:p>
      </xdr:txBody>
    </xdr:sp>
    <xdr:clientData/>
  </xdr:twoCellAnchor>
  <xdr:twoCellAnchor editAs="absolute">
    <xdr:from>
      <xdr:col>1</xdr:col>
      <xdr:colOff>781911</xdr:colOff>
      <xdr:row>7</xdr:row>
      <xdr:rowOff>4098220</xdr:rowOff>
    </xdr:from>
    <xdr:to>
      <xdr:col>1</xdr:col>
      <xdr:colOff>1177488</xdr:colOff>
      <xdr:row>7</xdr:row>
      <xdr:rowOff>4299097</xdr:rowOff>
    </xdr:to>
    <xdr:sp macro="" textlink="">
      <xdr:nvSpPr>
        <xdr:cNvPr id="72" name="Text Box 255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>
          <a:spLocks noChangeArrowheads="1"/>
        </xdr:cNvSpPr>
      </xdr:nvSpPr>
      <xdr:spPr bwMode="auto">
        <a:xfrm>
          <a:off x="1486761" y="10327570"/>
          <a:ext cx="395577" cy="2008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FB2</a:t>
          </a:r>
        </a:p>
      </xdr:txBody>
    </xdr:sp>
    <xdr:clientData/>
  </xdr:twoCellAnchor>
  <xdr:twoCellAnchor editAs="absolute">
    <xdr:from>
      <xdr:col>1</xdr:col>
      <xdr:colOff>141951</xdr:colOff>
      <xdr:row>7</xdr:row>
      <xdr:rowOff>3384014</xdr:rowOff>
    </xdr:from>
    <xdr:to>
      <xdr:col>1</xdr:col>
      <xdr:colOff>384920</xdr:colOff>
      <xdr:row>7</xdr:row>
      <xdr:rowOff>3598419</xdr:rowOff>
    </xdr:to>
    <xdr:sp macro="" textlink="">
      <xdr:nvSpPr>
        <xdr:cNvPr id="73" name="Text Box 256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>
          <a:spLocks noChangeArrowheads="1"/>
        </xdr:cNvSpPr>
      </xdr:nvSpPr>
      <xdr:spPr bwMode="auto">
        <a:xfrm>
          <a:off x="846801" y="9613364"/>
          <a:ext cx="242969" cy="2144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C2</a:t>
          </a:r>
        </a:p>
      </xdr:txBody>
    </xdr:sp>
    <xdr:clientData/>
  </xdr:twoCellAnchor>
  <xdr:twoCellAnchor editAs="absolute">
    <xdr:from>
      <xdr:col>1</xdr:col>
      <xdr:colOff>896117</xdr:colOff>
      <xdr:row>7</xdr:row>
      <xdr:rowOff>3625848</xdr:rowOff>
    </xdr:from>
    <xdr:to>
      <xdr:col>1</xdr:col>
      <xdr:colOff>1211687</xdr:colOff>
      <xdr:row>7</xdr:row>
      <xdr:rowOff>3869886</xdr:rowOff>
    </xdr:to>
    <xdr:sp macro="" textlink="">
      <xdr:nvSpPr>
        <xdr:cNvPr id="74" name="Text Box 257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>
          <a:spLocks noChangeArrowheads="1"/>
        </xdr:cNvSpPr>
      </xdr:nvSpPr>
      <xdr:spPr bwMode="auto">
        <a:xfrm>
          <a:off x="1600967" y="9855198"/>
          <a:ext cx="315570" cy="2440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 editAs="absolute">
    <xdr:from>
      <xdr:col>1</xdr:col>
      <xdr:colOff>853558</xdr:colOff>
      <xdr:row>7</xdr:row>
      <xdr:rowOff>3243493</xdr:rowOff>
    </xdr:from>
    <xdr:to>
      <xdr:col>1</xdr:col>
      <xdr:colOff>1162413</xdr:colOff>
      <xdr:row>7</xdr:row>
      <xdr:rowOff>3486999</xdr:rowOff>
    </xdr:to>
    <xdr:sp macro="" textlink="">
      <xdr:nvSpPr>
        <xdr:cNvPr id="75" name="Text Box 258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>
          <a:spLocks noChangeArrowheads="1"/>
        </xdr:cNvSpPr>
      </xdr:nvSpPr>
      <xdr:spPr bwMode="auto">
        <a:xfrm>
          <a:off x="1558408" y="9472843"/>
          <a:ext cx="308855" cy="2435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u="none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</a:p>
      </xdr:txBody>
    </xdr:sp>
    <xdr:clientData/>
  </xdr:twoCellAnchor>
  <xdr:twoCellAnchor editAs="absolute">
    <xdr:from>
      <xdr:col>1</xdr:col>
      <xdr:colOff>9479</xdr:colOff>
      <xdr:row>7</xdr:row>
      <xdr:rowOff>2572891</xdr:rowOff>
    </xdr:from>
    <xdr:to>
      <xdr:col>1</xdr:col>
      <xdr:colOff>693342</xdr:colOff>
      <xdr:row>7</xdr:row>
      <xdr:rowOff>2817536</xdr:rowOff>
    </xdr:to>
    <xdr:sp macro="" textlink="'Variable Management'!B471">
      <xdr:nvSpPr>
        <xdr:cNvPr id="76" name="Text Box 26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14329" y="8802241"/>
          <a:ext cx="683863" cy="244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50E25BC-E8CF-448B-A92C-74321B73BB8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270pF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0</xdr:col>
      <xdr:colOff>657225</xdr:colOff>
      <xdr:row>7</xdr:row>
      <xdr:rowOff>3652592</xdr:rowOff>
    </xdr:from>
    <xdr:to>
      <xdr:col>1</xdr:col>
      <xdr:colOff>372581</xdr:colOff>
      <xdr:row>7</xdr:row>
      <xdr:rowOff>3928150</xdr:rowOff>
    </xdr:to>
    <xdr:sp macro="" textlink="'Variable Management'!B443">
      <xdr:nvSpPr>
        <xdr:cNvPr id="77" name="Text Box 262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57225" y="9881942"/>
          <a:ext cx="420206" cy="2755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2D8520E2-C481-4B17-83BA-3FA209B7A03A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1000pF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815405</xdr:colOff>
      <xdr:row>7</xdr:row>
      <xdr:rowOff>3439887</xdr:rowOff>
    </xdr:from>
    <xdr:to>
      <xdr:col>1</xdr:col>
      <xdr:colOff>1274852</xdr:colOff>
      <xdr:row>7</xdr:row>
      <xdr:rowOff>3683426</xdr:rowOff>
    </xdr:to>
    <xdr:sp macro="" textlink="'Variable Management'!B441">
      <xdr:nvSpPr>
        <xdr:cNvPr id="78" name="Text Box 263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520255" y="9669237"/>
          <a:ext cx="459447" cy="2435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EDB14F34-7391-4353-9626-FAE030CE211F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6.19kΩ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720709</xdr:colOff>
      <xdr:row>7</xdr:row>
      <xdr:rowOff>4300720</xdr:rowOff>
    </xdr:from>
    <xdr:to>
      <xdr:col>1</xdr:col>
      <xdr:colOff>1235548</xdr:colOff>
      <xdr:row>7</xdr:row>
      <xdr:rowOff>4475356</xdr:rowOff>
    </xdr:to>
    <xdr:sp macro="" textlink="'Variable Management'!B452">
      <xdr:nvSpPr>
        <xdr:cNvPr id="79" name="Text Box 264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25559" y="10530070"/>
          <a:ext cx="514839" cy="1746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4143709D-01BC-4A19-AF00-5C62DAE21E0B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20kΩ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35144</xdr:colOff>
      <xdr:row>7</xdr:row>
      <xdr:rowOff>2153311</xdr:rowOff>
    </xdr:from>
    <xdr:to>
      <xdr:col>1</xdr:col>
      <xdr:colOff>715810</xdr:colOff>
      <xdr:row>7</xdr:row>
      <xdr:rowOff>2413283</xdr:rowOff>
    </xdr:to>
    <xdr:sp macro="" textlink="'Variable Management'!B469">
      <xdr:nvSpPr>
        <xdr:cNvPr id="80" name="Text Box 265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39994" y="8382661"/>
          <a:ext cx="680666" cy="259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30247B59-D142-4194-9028-13C083D6194C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33.2kΩ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648746</xdr:colOff>
      <xdr:row>7</xdr:row>
      <xdr:rowOff>1687485</xdr:rowOff>
    </xdr:from>
    <xdr:to>
      <xdr:col>1</xdr:col>
      <xdr:colOff>1135349</xdr:colOff>
      <xdr:row>7</xdr:row>
      <xdr:rowOff>1872615</xdr:rowOff>
    </xdr:to>
    <xdr:sp macro="" textlink="'Variable Management'!B450">
      <xdr:nvSpPr>
        <xdr:cNvPr id="81" name="Text Box 266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53596" y="7916835"/>
          <a:ext cx="486603" cy="185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F0D4FEFA-1BCB-42BA-B0A4-AAEA1128161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6802438</xdr:colOff>
      <xdr:row>7</xdr:row>
      <xdr:rowOff>2324357</xdr:rowOff>
    </xdr:from>
    <xdr:to>
      <xdr:col>1</xdr:col>
      <xdr:colOff>7303337</xdr:colOff>
      <xdr:row>7</xdr:row>
      <xdr:rowOff>2533495</xdr:rowOff>
    </xdr:to>
    <xdr:sp macro="" textlink="'Variable Management'!B433">
      <xdr:nvSpPr>
        <xdr:cNvPr id="82" name="Text Box 2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07288" y="8553707"/>
          <a:ext cx="500899" cy="2091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DEF62FD0-959B-4627-B7E8-61CA1688D174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600µF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1750147</xdr:colOff>
      <xdr:row>7</xdr:row>
      <xdr:rowOff>4634800</xdr:rowOff>
    </xdr:from>
    <xdr:to>
      <xdr:col>1</xdr:col>
      <xdr:colOff>2273580</xdr:colOff>
      <xdr:row>7</xdr:row>
      <xdr:rowOff>4927889</xdr:rowOff>
    </xdr:to>
    <xdr:sp macro="" textlink="'Variable Management'!B451">
      <xdr:nvSpPr>
        <xdr:cNvPr id="83" name="Text Box 268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454997" y="10864150"/>
          <a:ext cx="523433" cy="2930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DE4FB3C5-779F-4472-8885-3DB2A25A3AD8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280kΩ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7863577</xdr:colOff>
      <xdr:row>7</xdr:row>
      <xdr:rowOff>1180255</xdr:rowOff>
    </xdr:from>
    <xdr:to>
      <xdr:col>1</xdr:col>
      <xdr:colOff>8405722</xdr:colOff>
      <xdr:row>7</xdr:row>
      <xdr:rowOff>1385433</xdr:rowOff>
    </xdr:to>
    <xdr:sp macro="" textlink="'Variable Management'!B464">
      <xdr:nvSpPr>
        <xdr:cNvPr id="84" name="Text Box 274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568427" y="7409605"/>
          <a:ext cx="542145" cy="2051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14CFEDF3-9A5F-4A24-9D5F-304E5DC1B6C6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ctr" rtl="0">
              <a:defRPr sz="1000"/>
            </a:pPr>
            <a:t>4.2mΩ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6539066</xdr:colOff>
      <xdr:row>7</xdr:row>
      <xdr:rowOff>1508922</xdr:rowOff>
    </xdr:from>
    <xdr:to>
      <xdr:col>1</xdr:col>
      <xdr:colOff>6987309</xdr:colOff>
      <xdr:row>7</xdr:row>
      <xdr:rowOff>1718015</xdr:rowOff>
    </xdr:to>
    <xdr:sp macro="" textlink="'Variable Management'!B426">
      <xdr:nvSpPr>
        <xdr:cNvPr id="85" name="Text Box 275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243916" y="7738272"/>
          <a:ext cx="448243" cy="2090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08583DE7-3129-476B-98BE-2887A134E956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4.7µH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6311714</xdr:colOff>
      <xdr:row>7</xdr:row>
      <xdr:rowOff>2310702</xdr:rowOff>
    </xdr:from>
    <xdr:to>
      <xdr:col>1</xdr:col>
      <xdr:colOff>6784061</xdr:colOff>
      <xdr:row>7</xdr:row>
      <xdr:rowOff>2534418</xdr:rowOff>
    </xdr:to>
    <xdr:sp macro="" textlink="'Variable Management'!B437">
      <xdr:nvSpPr>
        <xdr:cNvPr id="86" name="Text Box 276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016564" y="8540052"/>
          <a:ext cx="472347" cy="2237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7E8F3901-1453-4951-8E28-510E65401D4C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3505332</xdr:colOff>
      <xdr:row>7</xdr:row>
      <xdr:rowOff>155199</xdr:rowOff>
    </xdr:from>
    <xdr:to>
      <xdr:col>1</xdr:col>
      <xdr:colOff>3874809</xdr:colOff>
      <xdr:row>7</xdr:row>
      <xdr:rowOff>391314</xdr:rowOff>
    </xdr:to>
    <xdr:sp macro="" textlink="">
      <xdr:nvSpPr>
        <xdr:cNvPr id="87" name="Text Box 279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>
          <a:spLocks noChangeArrowheads="1"/>
        </xdr:cNvSpPr>
      </xdr:nvSpPr>
      <xdr:spPr bwMode="auto">
        <a:xfrm>
          <a:off x="4210182" y="6384549"/>
          <a:ext cx="369477" cy="2361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1006694</xdr:colOff>
      <xdr:row>7</xdr:row>
      <xdr:rowOff>2959505</xdr:rowOff>
    </xdr:from>
    <xdr:to>
      <xdr:col>1</xdr:col>
      <xdr:colOff>1444337</xdr:colOff>
      <xdr:row>7</xdr:row>
      <xdr:rowOff>3194355</xdr:rowOff>
    </xdr:to>
    <xdr:sp macro="" textlink="'Variable Management'!B470">
      <xdr:nvSpPr>
        <xdr:cNvPr id="88" name="Text Box 28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711544" y="9188855"/>
          <a:ext cx="437643" cy="23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7460045-3ADA-4E36-A50B-8C5C548E137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8287206</xdr:colOff>
      <xdr:row>7</xdr:row>
      <xdr:rowOff>986041</xdr:rowOff>
    </xdr:from>
    <xdr:to>
      <xdr:col>1</xdr:col>
      <xdr:colOff>8765869</xdr:colOff>
      <xdr:row>7</xdr:row>
      <xdr:rowOff>1230653</xdr:rowOff>
    </xdr:to>
    <xdr:sp macro="" textlink="'Variable Management'!B431">
      <xdr:nvSpPr>
        <xdr:cNvPr id="89" name="Text Box 285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92056" y="7215391"/>
          <a:ext cx="478663" cy="244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702C2B8A-7C4B-4FDB-B229-3170089D9686}" type="TxLink">
            <a:rPr lang="en-US" sz="1200" b="1" i="0" u="none" strike="noStrike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12V</a:t>
          </a:fld>
          <a:endParaRPr lang="en-US" sz="1200" b="1" i="0" u="none" strike="noStrike" baseline="0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8272196</xdr:colOff>
      <xdr:row>7</xdr:row>
      <xdr:rowOff>1215042</xdr:rowOff>
    </xdr:from>
    <xdr:to>
      <xdr:col>1</xdr:col>
      <xdr:colOff>8725233</xdr:colOff>
      <xdr:row>7</xdr:row>
      <xdr:rowOff>1457596</xdr:rowOff>
    </xdr:to>
    <xdr:sp macro="" textlink="'Variable Management'!B473">
      <xdr:nvSpPr>
        <xdr:cNvPr id="90" name="Text Box 286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77046" y="7444392"/>
          <a:ext cx="453037" cy="2425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E0FB88FA-F39E-4ACF-AB5E-DCB628763AAE}" type="TxLink">
            <a:rPr lang="en-US" sz="1200" b="1" i="0" u="none" strike="noStrike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12A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339944</xdr:colOff>
      <xdr:row>7</xdr:row>
      <xdr:rowOff>1978754</xdr:rowOff>
    </xdr:from>
    <xdr:to>
      <xdr:col>1</xdr:col>
      <xdr:colOff>604552</xdr:colOff>
      <xdr:row>7</xdr:row>
      <xdr:rowOff>2170569</xdr:rowOff>
    </xdr:to>
    <xdr:sp macro="" textlink="">
      <xdr:nvSpPr>
        <xdr:cNvPr id="91" name="Text Box 25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>
          <a:spLocks noChangeArrowheads="1"/>
        </xdr:cNvSpPr>
      </xdr:nvSpPr>
      <xdr:spPr bwMode="auto">
        <a:xfrm>
          <a:off x="1044794" y="8208104"/>
          <a:ext cx="264608" cy="19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T</a:t>
          </a:r>
        </a:p>
      </xdr:txBody>
    </xdr:sp>
    <xdr:clientData/>
  </xdr:twoCellAnchor>
  <xdr:twoCellAnchor editAs="absolute">
    <xdr:from>
      <xdr:col>1</xdr:col>
      <xdr:colOff>2952085</xdr:colOff>
      <xdr:row>7</xdr:row>
      <xdr:rowOff>151110</xdr:rowOff>
    </xdr:from>
    <xdr:to>
      <xdr:col>1</xdr:col>
      <xdr:colOff>3413563</xdr:colOff>
      <xdr:row>7</xdr:row>
      <xdr:rowOff>375118</xdr:rowOff>
    </xdr:to>
    <xdr:sp macro="" textlink="">
      <xdr:nvSpPr>
        <xdr:cNvPr id="92" name="Text Box 247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>
          <a:spLocks noChangeArrowheads="1"/>
        </xdr:cNvSpPr>
      </xdr:nvSpPr>
      <xdr:spPr bwMode="auto">
        <a:xfrm>
          <a:off x="3656935" y="6380460"/>
          <a:ext cx="461478" cy="2240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5943177</xdr:colOff>
      <xdr:row>7</xdr:row>
      <xdr:rowOff>2266758</xdr:rowOff>
    </xdr:from>
    <xdr:to>
      <xdr:col>1</xdr:col>
      <xdr:colOff>6265561</xdr:colOff>
      <xdr:row>7</xdr:row>
      <xdr:rowOff>2512008</xdr:rowOff>
    </xdr:to>
    <xdr:sp macro="" textlink="">
      <xdr:nvSpPr>
        <xdr:cNvPr id="93" name="Text Box 244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>
          <a:spLocks noChangeArrowheads="1"/>
        </xdr:cNvSpPr>
      </xdr:nvSpPr>
      <xdr:spPr bwMode="auto">
        <a:xfrm>
          <a:off x="6648027" y="8496108"/>
          <a:ext cx="322384" cy="245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 editAs="absolute">
    <xdr:from>
      <xdr:col>1</xdr:col>
      <xdr:colOff>5944154</xdr:colOff>
      <xdr:row>7</xdr:row>
      <xdr:rowOff>1390774</xdr:rowOff>
    </xdr:from>
    <xdr:to>
      <xdr:col>1</xdr:col>
      <xdr:colOff>6266538</xdr:colOff>
      <xdr:row>7</xdr:row>
      <xdr:rowOff>1656965</xdr:rowOff>
    </xdr:to>
    <xdr:sp macro="" textlink="">
      <xdr:nvSpPr>
        <xdr:cNvPr id="94" name="Text Box 244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 txBox="1">
          <a:spLocks noChangeArrowheads="1"/>
        </xdr:cNvSpPr>
      </xdr:nvSpPr>
      <xdr:spPr bwMode="auto">
        <a:xfrm>
          <a:off x="6649004" y="7620124"/>
          <a:ext cx="322384" cy="2661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 editAs="absolute">
    <xdr:from>
      <xdr:col>1</xdr:col>
      <xdr:colOff>6867893</xdr:colOff>
      <xdr:row>7</xdr:row>
      <xdr:rowOff>3150337</xdr:rowOff>
    </xdr:from>
    <xdr:to>
      <xdr:col>1</xdr:col>
      <xdr:colOff>7347524</xdr:colOff>
      <xdr:row>7</xdr:row>
      <xdr:rowOff>3421399</xdr:rowOff>
    </xdr:to>
    <xdr:sp macro="" textlink="'Variable Management'!B428">
      <xdr:nvSpPr>
        <xdr:cNvPr id="95" name="Text Box 275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72743" y="9379687"/>
          <a:ext cx="479631" cy="2710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952677B8-8C18-463F-B0C9-D2099A1EBA1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4mΩ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254219</xdr:colOff>
      <xdr:row>7</xdr:row>
      <xdr:rowOff>2380749</xdr:rowOff>
    </xdr:from>
    <xdr:to>
      <xdr:col>1</xdr:col>
      <xdr:colOff>687280</xdr:colOff>
      <xdr:row>7</xdr:row>
      <xdr:rowOff>2617060</xdr:rowOff>
    </xdr:to>
    <xdr:sp macro="" textlink="">
      <xdr:nvSpPr>
        <xdr:cNvPr id="96" name="Text Box 25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>
          <a:spLocks noChangeArrowheads="1"/>
        </xdr:cNvSpPr>
      </xdr:nvSpPr>
      <xdr:spPr bwMode="auto">
        <a:xfrm>
          <a:off x="959069" y="8610099"/>
          <a:ext cx="433061" cy="2363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SLOPE</a:t>
          </a:r>
        </a:p>
      </xdr:txBody>
    </xdr:sp>
    <xdr:clientData/>
  </xdr:twoCellAnchor>
  <xdr:twoCellAnchor editAs="absolute">
    <xdr:from>
      <xdr:col>1</xdr:col>
      <xdr:colOff>5510442</xdr:colOff>
      <xdr:row>7</xdr:row>
      <xdr:rowOff>3222811</xdr:rowOff>
    </xdr:from>
    <xdr:to>
      <xdr:col>1</xdr:col>
      <xdr:colOff>5917925</xdr:colOff>
      <xdr:row>7</xdr:row>
      <xdr:rowOff>3467178</xdr:rowOff>
    </xdr:to>
    <xdr:sp macro="" textlink="">
      <xdr:nvSpPr>
        <xdr:cNvPr id="97" name="Text Box 248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>
          <a:spLocks noChangeArrowheads="1"/>
        </xdr:cNvSpPr>
      </xdr:nvSpPr>
      <xdr:spPr bwMode="auto">
        <a:xfrm>
          <a:off x="6215292" y="9452161"/>
          <a:ext cx="407483" cy="2443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4880097</xdr:colOff>
      <xdr:row>7</xdr:row>
      <xdr:rowOff>3625880</xdr:rowOff>
    </xdr:from>
    <xdr:to>
      <xdr:col>1</xdr:col>
      <xdr:colOff>5341575</xdr:colOff>
      <xdr:row>7</xdr:row>
      <xdr:rowOff>3876702</xdr:rowOff>
    </xdr:to>
    <xdr:sp macro="" textlink="">
      <xdr:nvSpPr>
        <xdr:cNvPr id="98" name="Text Box 24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>
          <a:spLocks noChangeArrowheads="1"/>
        </xdr:cNvSpPr>
      </xdr:nvSpPr>
      <xdr:spPr bwMode="auto">
        <a:xfrm>
          <a:off x="5584947" y="9855230"/>
          <a:ext cx="461478" cy="2508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4940561</xdr:colOff>
      <xdr:row>7</xdr:row>
      <xdr:rowOff>3837855</xdr:rowOff>
    </xdr:from>
    <xdr:to>
      <xdr:col>1</xdr:col>
      <xdr:colOff>5310038</xdr:colOff>
      <xdr:row>7</xdr:row>
      <xdr:rowOff>4065180</xdr:rowOff>
    </xdr:to>
    <xdr:sp macro="" textlink="">
      <xdr:nvSpPr>
        <xdr:cNvPr id="99" name="Text Box 279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>
          <a:spLocks noChangeArrowheads="1"/>
        </xdr:cNvSpPr>
      </xdr:nvSpPr>
      <xdr:spPr bwMode="auto">
        <a:xfrm>
          <a:off x="5645411" y="10067205"/>
          <a:ext cx="369477" cy="227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5094928</xdr:colOff>
      <xdr:row>7</xdr:row>
      <xdr:rowOff>2386949</xdr:rowOff>
    </xdr:from>
    <xdr:to>
      <xdr:col>1</xdr:col>
      <xdr:colOff>5365431</xdr:colOff>
      <xdr:row>7</xdr:row>
      <xdr:rowOff>2623978</xdr:rowOff>
    </xdr:to>
    <xdr:sp macro="" textlink="">
      <xdr:nvSpPr>
        <xdr:cNvPr id="100" name="Text Box 27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 txBox="1">
          <a:spLocks noChangeArrowheads="1"/>
        </xdr:cNvSpPr>
      </xdr:nvSpPr>
      <xdr:spPr bwMode="auto">
        <a:xfrm>
          <a:off x="5799778" y="8616299"/>
          <a:ext cx="270503" cy="2370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2444899</xdr:colOff>
      <xdr:row>7</xdr:row>
      <xdr:rowOff>47625</xdr:rowOff>
    </xdr:from>
    <xdr:to>
      <xdr:col>1</xdr:col>
      <xdr:colOff>2821188</xdr:colOff>
      <xdr:row>7</xdr:row>
      <xdr:rowOff>283294</xdr:rowOff>
    </xdr:to>
    <xdr:sp macro="" textlink="">
      <xdr:nvSpPr>
        <xdr:cNvPr id="101" name="Text Box 279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>
          <a:spLocks noChangeArrowheads="1"/>
        </xdr:cNvSpPr>
      </xdr:nvSpPr>
      <xdr:spPr bwMode="auto">
        <a:xfrm>
          <a:off x="3149749" y="6276975"/>
          <a:ext cx="376289" cy="2356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2144579</xdr:colOff>
      <xdr:row>7</xdr:row>
      <xdr:rowOff>488027</xdr:rowOff>
    </xdr:from>
    <xdr:to>
      <xdr:col>1</xdr:col>
      <xdr:colOff>2471641</xdr:colOff>
      <xdr:row>7</xdr:row>
      <xdr:rowOff>715157</xdr:rowOff>
    </xdr:to>
    <xdr:sp macro="" textlink="">
      <xdr:nvSpPr>
        <xdr:cNvPr id="102" name="Text Box 24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 txBox="1">
          <a:spLocks noChangeArrowheads="1"/>
        </xdr:cNvSpPr>
      </xdr:nvSpPr>
      <xdr:spPr bwMode="auto">
        <a:xfrm>
          <a:off x="2849429" y="6717377"/>
          <a:ext cx="327062" cy="227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2451906</xdr:colOff>
      <xdr:row>7</xdr:row>
      <xdr:rowOff>508323</xdr:rowOff>
    </xdr:from>
    <xdr:to>
      <xdr:col>1</xdr:col>
      <xdr:colOff>2822138</xdr:colOff>
      <xdr:row>7</xdr:row>
      <xdr:rowOff>732466</xdr:rowOff>
    </xdr:to>
    <xdr:sp macro="" textlink="">
      <xdr:nvSpPr>
        <xdr:cNvPr id="103" name="Text Box 277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>
          <a:spLocks noChangeArrowheads="1"/>
        </xdr:cNvSpPr>
      </xdr:nvSpPr>
      <xdr:spPr bwMode="auto">
        <a:xfrm>
          <a:off x="3156756" y="6737673"/>
          <a:ext cx="370232" cy="224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2Ω</a:t>
          </a:r>
        </a:p>
      </xdr:txBody>
    </xdr:sp>
    <xdr:clientData/>
  </xdr:twoCellAnchor>
  <xdr:twoCellAnchor editAs="absolute">
    <xdr:from>
      <xdr:col>1</xdr:col>
      <xdr:colOff>4627899</xdr:colOff>
      <xdr:row>7</xdr:row>
      <xdr:rowOff>4767713</xdr:rowOff>
    </xdr:from>
    <xdr:to>
      <xdr:col>1</xdr:col>
      <xdr:colOff>4940204</xdr:colOff>
      <xdr:row>8</xdr:row>
      <xdr:rowOff>1691</xdr:rowOff>
    </xdr:to>
    <xdr:sp macro="" textlink="">
      <xdr:nvSpPr>
        <xdr:cNvPr id="104" name="Text Box 250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>
          <a:spLocks noChangeArrowheads="1"/>
        </xdr:cNvSpPr>
      </xdr:nvSpPr>
      <xdr:spPr bwMode="auto">
        <a:xfrm>
          <a:off x="5332749" y="10997063"/>
          <a:ext cx="312305" cy="2250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CS2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2028048</xdr:colOff>
      <xdr:row>7</xdr:row>
      <xdr:rowOff>61062</xdr:rowOff>
    </xdr:from>
    <xdr:to>
      <xdr:col>1</xdr:col>
      <xdr:colOff>2352330</xdr:colOff>
      <xdr:row>7</xdr:row>
      <xdr:rowOff>279753</xdr:rowOff>
    </xdr:to>
    <xdr:sp macro="" textlink="">
      <xdr:nvSpPr>
        <xdr:cNvPr id="105" name="Text Box 245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 txBox="1">
          <a:spLocks noChangeArrowheads="1"/>
        </xdr:cNvSpPr>
      </xdr:nvSpPr>
      <xdr:spPr bwMode="auto">
        <a:xfrm>
          <a:off x="2732898" y="6290412"/>
          <a:ext cx="324282" cy="2186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7319710</xdr:colOff>
      <xdr:row>7</xdr:row>
      <xdr:rowOff>2263019</xdr:rowOff>
    </xdr:from>
    <xdr:to>
      <xdr:col>1</xdr:col>
      <xdr:colOff>7598272</xdr:colOff>
      <xdr:row>7</xdr:row>
      <xdr:rowOff>2553389</xdr:rowOff>
    </xdr:to>
    <xdr:sp macro="" textlink="">
      <xdr:nvSpPr>
        <xdr:cNvPr id="106" name="Text Box 244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 txBox="1">
          <a:spLocks noChangeArrowheads="1"/>
        </xdr:cNvSpPr>
      </xdr:nvSpPr>
      <xdr:spPr bwMode="auto">
        <a:xfrm>
          <a:off x="8024560" y="8492369"/>
          <a:ext cx="278562" cy="2903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 editAs="absolute">
    <xdr:from>
      <xdr:col>1</xdr:col>
      <xdr:colOff>7311161</xdr:colOff>
      <xdr:row>7</xdr:row>
      <xdr:rowOff>1389309</xdr:rowOff>
    </xdr:from>
    <xdr:to>
      <xdr:col>1</xdr:col>
      <xdr:colOff>7590944</xdr:colOff>
      <xdr:row>7</xdr:row>
      <xdr:rowOff>1653226</xdr:rowOff>
    </xdr:to>
    <xdr:sp macro="" textlink="">
      <xdr:nvSpPr>
        <xdr:cNvPr id="107" name="Text Box 244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>
          <a:spLocks noChangeArrowheads="1"/>
        </xdr:cNvSpPr>
      </xdr:nvSpPr>
      <xdr:spPr bwMode="auto">
        <a:xfrm>
          <a:off x="8016011" y="7618659"/>
          <a:ext cx="279783" cy="263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 editAs="absolute">
    <xdr:from>
      <xdr:col>1</xdr:col>
      <xdr:colOff>663203</xdr:colOff>
      <xdr:row>7</xdr:row>
      <xdr:rowOff>3831246</xdr:rowOff>
    </xdr:from>
    <xdr:to>
      <xdr:col>1</xdr:col>
      <xdr:colOff>1167405</xdr:colOff>
      <xdr:row>7</xdr:row>
      <xdr:rowOff>4074649</xdr:rowOff>
    </xdr:to>
    <xdr:sp macro="" textlink="'Variable Management'!B442">
      <xdr:nvSpPr>
        <xdr:cNvPr id="108" name="Text Box 26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68053" y="10060596"/>
          <a:ext cx="504202" cy="2434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9060F6D-CAA3-48E6-BAE7-37C16D6980D0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33nF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4854635</xdr:colOff>
      <xdr:row>7</xdr:row>
      <xdr:rowOff>4489457</xdr:rowOff>
    </xdr:from>
    <xdr:to>
      <xdr:col>1</xdr:col>
      <xdr:colOff>5248259</xdr:colOff>
      <xdr:row>7</xdr:row>
      <xdr:rowOff>4722477</xdr:rowOff>
    </xdr:to>
    <xdr:sp macro="" textlink="'Variable Management'!B467">
      <xdr:nvSpPr>
        <xdr:cNvPr id="109" name="Text Box 27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559485" y="10718807"/>
          <a:ext cx="393624" cy="233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62E2AFC2-CB14-431A-99E1-2EF4D5A6CD34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 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1654331</xdr:colOff>
      <xdr:row>7</xdr:row>
      <xdr:rowOff>430264</xdr:rowOff>
    </xdr:from>
    <xdr:to>
      <xdr:col>1</xdr:col>
      <xdr:colOff>2003826</xdr:colOff>
      <xdr:row>7</xdr:row>
      <xdr:rowOff>671909</xdr:rowOff>
    </xdr:to>
    <xdr:sp macro="" textlink="">
      <xdr:nvSpPr>
        <xdr:cNvPr id="110" name="Text Box 248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>
          <a:spLocks noChangeArrowheads="1"/>
        </xdr:cNvSpPr>
      </xdr:nvSpPr>
      <xdr:spPr bwMode="auto">
        <a:xfrm>
          <a:off x="2359181" y="6659614"/>
          <a:ext cx="349495" cy="241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6290995</xdr:colOff>
      <xdr:row>7</xdr:row>
      <xdr:rowOff>1006446</xdr:rowOff>
    </xdr:from>
    <xdr:to>
      <xdr:col>1</xdr:col>
      <xdr:colOff>7281596</xdr:colOff>
      <xdr:row>7</xdr:row>
      <xdr:rowOff>1266695</xdr:rowOff>
    </xdr:to>
    <xdr:sp macro="" textlink="'Variable Management'!B475">
      <xdr:nvSpPr>
        <xdr:cNvPr id="111" name="Text Box 283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995845" y="7235796"/>
          <a:ext cx="990601" cy="2602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B114F7CE-60BB-40BD-BD7F-B22E7592FFCF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6V...36V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713956</xdr:colOff>
      <xdr:row>7</xdr:row>
      <xdr:rowOff>1516768</xdr:rowOff>
    </xdr:from>
    <xdr:to>
      <xdr:col>1</xdr:col>
      <xdr:colOff>1196832</xdr:colOff>
      <xdr:row>7</xdr:row>
      <xdr:rowOff>1701897</xdr:rowOff>
    </xdr:to>
    <xdr:sp macro="" textlink="'Variable Management'!C450">
      <xdr:nvSpPr>
        <xdr:cNvPr id="112" name="Text Box 266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18806" y="7746118"/>
          <a:ext cx="482876" cy="1851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DF2A2C16-623E-4E51-B82E-2B3F1562B3CF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4</xdr:row>
      <xdr:rowOff>1009650</xdr:rowOff>
    </xdr:from>
    <xdr:to>
      <xdr:col>5</xdr:col>
      <xdr:colOff>240968</xdr:colOff>
      <xdr:row>4</xdr:row>
      <xdr:rowOff>1238250</xdr:rowOff>
    </xdr:to>
    <xdr:sp macro="" textlink="'Variable Management'!$B$457">
      <xdr:nvSpPr>
        <xdr:cNvPr id="5" name="Text Box 2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753725" y="1657350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F0AFB1C-0795-4024-9821-D34D86340D40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97.8%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</xdr:col>
      <xdr:colOff>419100</xdr:colOff>
      <xdr:row>4</xdr:row>
      <xdr:rowOff>1000125</xdr:rowOff>
    </xdr:from>
    <xdr:to>
      <xdr:col>4</xdr:col>
      <xdr:colOff>231443</xdr:colOff>
      <xdr:row>4</xdr:row>
      <xdr:rowOff>1228725</xdr:rowOff>
    </xdr:to>
    <xdr:sp macro="" textlink="'Variable Management'!$B$458">
      <xdr:nvSpPr>
        <xdr:cNvPr id="7" name="Text Box 24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134600" y="1647825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7D4567B-D519-4FF8-A1F3-102CF08055AD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98%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4</xdr:row>
      <xdr:rowOff>12700</xdr:rowOff>
    </xdr:from>
    <xdr:to>
      <xdr:col>1</xdr:col>
      <xdr:colOff>8150225</xdr:colOff>
      <xdr:row>4</xdr:row>
      <xdr:rowOff>5165725</xdr:rowOff>
    </xdr:to>
    <xdr:graphicFrame macro="">
      <xdr:nvGraphicFramePr>
        <xdr:cNvPr id="8" name="Chart 25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6</xdr:row>
      <xdr:rowOff>6350</xdr:rowOff>
    </xdr:from>
    <xdr:to>
      <xdr:col>1</xdr:col>
      <xdr:colOff>8162925</xdr:colOff>
      <xdr:row>6</xdr:row>
      <xdr:rowOff>5159375</xdr:rowOff>
    </xdr:to>
    <xdr:graphicFrame macro="">
      <xdr:nvGraphicFramePr>
        <xdr:cNvPr id="9" name="Chart 253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628650</xdr:colOff>
      <xdr:row>59</xdr:row>
      <xdr:rowOff>66675</xdr:rowOff>
    </xdr:from>
    <xdr:to>
      <xdr:col>45</xdr:col>
      <xdr:colOff>381000</xdr:colOff>
      <xdr:row>89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495300</xdr:colOff>
      <xdr:row>59</xdr:row>
      <xdr:rowOff>47625</xdr:rowOff>
    </xdr:from>
    <xdr:to>
      <xdr:col>34</xdr:col>
      <xdr:colOff>457200</xdr:colOff>
      <xdr:row>88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95250</xdr:colOff>
      <xdr:row>59</xdr:row>
      <xdr:rowOff>31507</xdr:rowOff>
    </xdr:from>
    <xdr:to>
      <xdr:col>23</xdr:col>
      <xdr:colOff>327512</xdr:colOff>
      <xdr:row>88</xdr:row>
      <xdr:rowOff>21982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142874</xdr:colOff>
      <xdr:row>92</xdr:row>
      <xdr:rowOff>66675</xdr:rowOff>
    </xdr:from>
    <xdr:to>
      <xdr:col>24</xdr:col>
      <xdr:colOff>171449</xdr:colOff>
      <xdr:row>121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55</xdr:row>
      <xdr:rowOff>66675</xdr:rowOff>
    </xdr:from>
    <xdr:to>
      <xdr:col>45</xdr:col>
      <xdr:colOff>285750</xdr:colOff>
      <xdr:row>84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400050</xdr:colOff>
      <xdr:row>55</xdr:row>
      <xdr:rowOff>47625</xdr:rowOff>
    </xdr:from>
    <xdr:to>
      <xdr:col>34</xdr:col>
      <xdr:colOff>361950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55</xdr:row>
      <xdr:rowOff>31507</xdr:rowOff>
    </xdr:from>
    <xdr:to>
      <xdr:col>23</xdr:col>
      <xdr:colOff>232262</xdr:colOff>
      <xdr:row>83</xdr:row>
      <xdr:rowOff>145807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942975</xdr:colOff>
      <xdr:row>14</xdr:row>
      <xdr:rowOff>142875</xdr:rowOff>
    </xdr:from>
    <xdr:to>
      <xdr:col>10</xdr:col>
      <xdr:colOff>304800</xdr:colOff>
      <xdr:row>40</xdr:row>
      <xdr:rowOff>66675</xdr:rowOff>
    </xdr:to>
    <xdr:graphicFrame macro="">
      <xdr:nvGraphicFramePr>
        <xdr:cNvPr id="2" name="Chart 1029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196876/Desktop/LM5177/Quickstart%20Tool/customer/Valeo_LM5177%20Buck-Boost%20Quickstart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ign Converter"/>
      <sheetName val="Licenses"/>
      <sheetName val="BOM &amp; Schematic"/>
      <sheetName val="EVMs"/>
      <sheetName val="Variable Management"/>
      <sheetName val="Timings"/>
      <sheetName val="CFG Setting"/>
      <sheetName val="Schematic Management"/>
      <sheetName val="Efficiency Plot Management"/>
      <sheetName val="Efficiency vs VIN Calculations"/>
      <sheetName val="Efficiency vs Load Calculations"/>
      <sheetName val="Stability Calculations"/>
      <sheetName val="Standard Value Calculator"/>
      <sheetName val="Snubber"/>
      <sheetName val="Parallel Output Caps"/>
    </sheetNames>
    <sheetDataSet>
      <sheetData sheetId="0"/>
      <sheetData sheetId="1"/>
      <sheetData sheetId="2"/>
      <sheetData sheetId="3"/>
      <sheetData sheetId="4">
        <row r="7">
          <cell r="B7">
            <v>12</v>
          </cell>
        </row>
        <row r="8">
          <cell r="B8">
            <v>44</v>
          </cell>
        </row>
        <row r="9">
          <cell r="B9">
            <v>45</v>
          </cell>
        </row>
        <row r="10">
          <cell r="B10">
            <v>4.0422641076474628</v>
          </cell>
          <cell r="L10">
            <v>2</v>
          </cell>
          <cell r="O10">
            <v>9</v>
          </cell>
        </row>
        <row r="12">
          <cell r="B12">
            <v>5</v>
          </cell>
        </row>
        <row r="13">
          <cell r="B13">
            <v>10</v>
          </cell>
        </row>
        <row r="14">
          <cell r="B14">
            <v>0.5</v>
          </cell>
        </row>
        <row r="15">
          <cell r="B15">
            <v>50</v>
          </cell>
        </row>
        <row r="16">
          <cell r="B16">
            <v>0.95</v>
          </cell>
        </row>
        <row r="17">
          <cell r="B17">
            <v>52.631578947368425</v>
          </cell>
        </row>
        <row r="18">
          <cell r="B18">
            <v>4.3859649122807021</v>
          </cell>
        </row>
        <row r="19">
          <cell r="B19">
            <v>1.1961722488038278</v>
          </cell>
        </row>
        <row r="20">
          <cell r="B20">
            <v>1.169590643274854</v>
          </cell>
        </row>
        <row r="22">
          <cell r="B22">
            <v>450000</v>
          </cell>
        </row>
        <row r="24">
          <cell r="B24">
            <v>1</v>
          </cell>
        </row>
        <row r="26">
          <cell r="B26">
            <v>67332.727333333343</v>
          </cell>
        </row>
        <row r="34">
          <cell r="B34">
            <v>1</v>
          </cell>
        </row>
        <row r="36">
          <cell r="B36">
            <v>0.19154717847050734</v>
          </cell>
        </row>
        <row r="37">
          <cell r="B37">
            <v>0.87445282152949255</v>
          </cell>
        </row>
        <row r="40">
          <cell r="B40">
            <v>4.0422641076474628</v>
          </cell>
        </row>
        <row r="41">
          <cell r="B41">
            <v>4.4622641076474636</v>
          </cell>
        </row>
        <row r="43">
          <cell r="B43">
            <v>5.7178613607244966</v>
          </cell>
        </row>
        <row r="48">
          <cell r="B48">
            <v>0.11363636363636363</v>
          </cell>
        </row>
        <row r="51">
          <cell r="B51">
            <v>0.41666666666666669</v>
          </cell>
        </row>
        <row r="52">
          <cell r="B52">
            <v>0.11363636363636363</v>
          </cell>
        </row>
        <row r="53">
          <cell r="B53">
            <v>0.1111111111111111</v>
          </cell>
        </row>
        <row r="54">
          <cell r="B54">
            <v>0.19154717847050734</v>
          </cell>
        </row>
        <row r="64">
          <cell r="B64">
            <v>1.697530864197531E-6</v>
          </cell>
        </row>
        <row r="66">
          <cell r="B66">
            <v>2.2000000000000001E-6</v>
          </cell>
        </row>
        <row r="67">
          <cell r="B67">
            <v>0.01</v>
          </cell>
        </row>
        <row r="69">
          <cell r="B69">
            <v>0.11617691608603453</v>
          </cell>
        </row>
        <row r="70">
          <cell r="B70">
            <v>0.88382308391396547</v>
          </cell>
        </row>
        <row r="72">
          <cell r="B72">
            <v>0.42563817980022195</v>
          </cell>
        </row>
        <row r="73">
          <cell r="B73">
            <v>0.11617691608603453</v>
          </cell>
        </row>
        <row r="74">
          <cell r="B74">
            <v>0.11359597156398103</v>
          </cell>
        </row>
        <row r="76">
          <cell r="B76">
            <v>0.15</v>
          </cell>
        </row>
        <row r="78">
          <cell r="B78">
            <v>3.0095628874763163</v>
          </cell>
        </row>
        <row r="79">
          <cell r="B79">
            <v>4.5766663912680263</v>
          </cell>
        </row>
        <row r="80">
          <cell r="B80">
            <v>4.5897362248073135</v>
          </cell>
        </row>
        <row r="81">
          <cell r="B81">
            <v>0.7821053378307824</v>
          </cell>
        </row>
        <row r="100">
          <cell r="B100">
            <v>12</v>
          </cell>
        </row>
        <row r="108">
          <cell r="B108">
            <v>0.05</v>
          </cell>
        </row>
        <row r="112">
          <cell r="B112">
            <v>0.05</v>
          </cell>
        </row>
        <row r="121">
          <cell r="B121">
            <v>4.7640742050262617E-3</v>
          </cell>
        </row>
        <row r="122">
          <cell r="B122">
            <v>1.3333333333333333E-3</v>
          </cell>
        </row>
        <row r="127">
          <cell r="B127">
            <v>39.00478144373816</v>
          </cell>
        </row>
        <row r="128">
          <cell r="B128">
            <v>39.78833319563401</v>
          </cell>
        </row>
        <row r="129">
          <cell r="B129">
            <v>39.794868112403655</v>
          </cell>
        </row>
        <row r="137">
          <cell r="B137">
            <v>42.089736224807311</v>
          </cell>
        </row>
        <row r="139">
          <cell r="B139">
            <v>82500</v>
          </cell>
        </row>
        <row r="141">
          <cell r="B141">
            <v>83000</v>
          </cell>
        </row>
        <row r="143">
          <cell r="B143">
            <v>0</v>
          </cell>
        </row>
        <row r="154">
          <cell r="B154">
            <v>10</v>
          </cell>
        </row>
        <row r="155">
          <cell r="B155">
            <v>50</v>
          </cell>
        </row>
        <row r="156">
          <cell r="B156">
            <v>5</v>
          </cell>
        </row>
        <row r="157">
          <cell r="B157">
            <v>1</v>
          </cell>
        </row>
        <row r="167">
          <cell r="B167">
            <v>5.5732646064376223E-6</v>
          </cell>
        </row>
        <row r="169">
          <cell r="B169">
            <v>2.0000000000000001E-4</v>
          </cell>
        </row>
        <row r="170">
          <cell r="B170">
            <v>4.9821769605255535E-2</v>
          </cell>
        </row>
        <row r="173">
          <cell r="B173">
            <v>8.0000000000000004E-4</v>
          </cell>
        </row>
        <row r="174">
          <cell r="B174">
            <v>7.3564929434952802E-3</v>
          </cell>
        </row>
        <row r="183">
          <cell r="B183">
            <v>0.18</v>
          </cell>
        </row>
        <row r="187">
          <cell r="B187">
            <v>3.0864197530864198E-5</v>
          </cell>
        </row>
        <row r="189">
          <cell r="B189">
            <v>1E-4</v>
          </cell>
        </row>
        <row r="192">
          <cell r="B192">
            <v>1.0121657532779785E-2</v>
          </cell>
        </row>
        <row r="194">
          <cell r="B194">
            <v>2E-3</v>
          </cell>
        </row>
        <row r="198">
          <cell r="B198">
            <v>8.0145291780362865E-2</v>
          </cell>
        </row>
        <row r="203">
          <cell r="B203">
            <v>3.0000000000000001E-3</v>
          </cell>
        </row>
        <row r="204">
          <cell r="B204">
            <v>1.0000000000000001E-5</v>
          </cell>
        </row>
        <row r="205">
          <cell r="B205">
            <v>3.0000000000000004E-8</v>
          </cell>
        </row>
        <row r="206">
          <cell r="B206">
            <v>3.2999999999999998E-8</v>
          </cell>
        </row>
        <row r="210">
          <cell r="B210">
            <v>4.0999999999999996</v>
          </cell>
        </row>
        <row r="212">
          <cell r="B212">
            <v>75</v>
          </cell>
        </row>
        <row r="213">
          <cell r="B213">
            <v>39.263803680981603</v>
          </cell>
        </row>
        <row r="218">
          <cell r="B218">
            <v>1.28</v>
          </cell>
        </row>
        <row r="219">
          <cell r="B219">
            <v>1.23</v>
          </cell>
        </row>
        <row r="221">
          <cell r="B221">
            <v>5.0000000000000001E-3</v>
          </cell>
        </row>
        <row r="236">
          <cell r="B236">
            <v>3.1415926535897931</v>
          </cell>
        </row>
        <row r="237">
          <cell r="B237">
            <v>5</v>
          </cell>
        </row>
        <row r="238">
          <cell r="B238">
            <v>6.6666666666666662E-3</v>
          </cell>
        </row>
        <row r="239">
          <cell r="B239">
            <v>5.0000000000000001E-4</v>
          </cell>
        </row>
        <row r="240">
          <cell r="B240">
            <v>2.4999999999999998E-12</v>
          </cell>
        </row>
        <row r="241">
          <cell r="B241">
            <v>1.8749999999999999E-3</v>
          </cell>
        </row>
        <row r="242">
          <cell r="B242">
            <v>0</v>
          </cell>
        </row>
        <row r="244">
          <cell r="B244">
            <v>0</v>
          </cell>
        </row>
        <row r="245">
          <cell r="B245">
            <v>352409.63855421683</v>
          </cell>
        </row>
        <row r="246">
          <cell r="B246">
            <v>352409.63855421683</v>
          </cell>
        </row>
        <row r="248">
          <cell r="B248">
            <v>0</v>
          </cell>
        </row>
        <row r="251">
          <cell r="B251">
            <v>1666.6666666666665</v>
          </cell>
        </row>
        <row r="254">
          <cell r="B254">
            <v>52861445.783132531</v>
          </cell>
        </row>
        <row r="255">
          <cell r="B255">
            <v>17727272.727272727</v>
          </cell>
        </row>
        <row r="256">
          <cell r="B256">
            <v>2272727.2727272725</v>
          </cell>
        </row>
        <row r="262">
          <cell r="B262">
            <v>1.9697867298578197E-6</v>
          </cell>
        </row>
        <row r="264">
          <cell r="B264">
            <v>1.2763596004439511E-6</v>
          </cell>
        </row>
        <row r="273">
          <cell r="B273">
            <v>24.259036144578317</v>
          </cell>
        </row>
        <row r="274">
          <cell r="B274">
            <v>2.8183400064967539</v>
          </cell>
        </row>
        <row r="275">
          <cell r="B275">
            <v>3.9819277108433737</v>
          </cell>
        </row>
        <row r="276">
          <cell r="B276">
            <v>3.5193196293200675</v>
          </cell>
        </row>
        <row r="278">
          <cell r="B278">
            <v>24.259036144578317</v>
          </cell>
        </row>
        <row r="279">
          <cell r="B279">
            <v>2.8183400064967539</v>
          </cell>
        </row>
        <row r="280">
          <cell r="B280">
            <v>0.13730077783749636</v>
          </cell>
        </row>
        <row r="282">
          <cell r="B282">
            <v>5.1644682192855942E-3</v>
          </cell>
        </row>
        <row r="283">
          <cell r="B283">
            <v>22.49547210880371</v>
          </cell>
        </row>
        <row r="287">
          <cell r="B287">
            <v>13</v>
          </cell>
        </row>
        <row r="288">
          <cell r="B288">
            <v>6.1213439650728982E-12</v>
          </cell>
        </row>
        <row r="289">
          <cell r="B289">
            <v>10000000</v>
          </cell>
        </row>
        <row r="292">
          <cell r="B292">
            <v>5000</v>
          </cell>
        </row>
        <row r="293">
          <cell r="B293">
            <v>0.2</v>
          </cell>
        </row>
        <row r="294">
          <cell r="B294">
            <v>150</v>
          </cell>
        </row>
        <row r="295">
          <cell r="B295">
            <v>34.548220888889361</v>
          </cell>
        </row>
        <row r="296">
          <cell r="B296">
            <v>33.143365646773709</v>
          </cell>
        </row>
        <row r="297">
          <cell r="B297">
            <v>34.548220888889361</v>
          </cell>
        </row>
        <row r="303">
          <cell r="B303">
            <v>0.5</v>
          </cell>
        </row>
        <row r="306">
          <cell r="B306">
            <v>1591.5494309189535</v>
          </cell>
        </row>
        <row r="307">
          <cell r="B307">
            <v>3183.098861837907</v>
          </cell>
        </row>
        <row r="308">
          <cell r="B308">
            <v>1591.5494309189535</v>
          </cell>
        </row>
        <row r="310">
          <cell r="B310">
            <v>0.48219126808545959</v>
          </cell>
        </row>
        <row r="311">
          <cell r="B311">
            <v>36071.212385318155</v>
          </cell>
        </row>
        <row r="312">
          <cell r="B312">
            <v>994718.39432434586</v>
          </cell>
        </row>
        <row r="313">
          <cell r="B313">
            <v>28255.183747999388</v>
          </cell>
        </row>
        <row r="314">
          <cell r="B314">
            <v>11932.69613388343</v>
          </cell>
        </row>
        <row r="317">
          <cell r="B317">
            <v>20000</v>
          </cell>
        </row>
        <row r="318">
          <cell r="B318">
            <v>1675.516081914556</v>
          </cell>
        </row>
        <row r="319">
          <cell r="B319">
            <v>3.9788735772973844E-8</v>
          </cell>
        </row>
        <row r="320">
          <cell r="B320">
            <v>6.723687250684391E-10</v>
          </cell>
        </row>
        <row r="323">
          <cell r="B323">
            <v>2000</v>
          </cell>
        </row>
        <row r="324">
          <cell r="B324">
            <v>3.3000000000000004E-8</v>
          </cell>
        </row>
        <row r="325">
          <cell r="B325">
            <v>2.1999999999999998E-9</v>
          </cell>
        </row>
        <row r="330">
          <cell r="B330">
            <v>2411.438531695384</v>
          </cell>
        </row>
        <row r="333">
          <cell r="B333">
            <v>178700</v>
          </cell>
        </row>
        <row r="334">
          <cell r="B334">
            <v>44675</v>
          </cell>
        </row>
        <row r="335">
          <cell r="B335">
            <v>44200</v>
          </cell>
        </row>
        <row r="348">
          <cell r="B348">
            <v>25</v>
          </cell>
        </row>
        <row r="350">
          <cell r="B350">
            <v>4.0000000000000001E-3</v>
          </cell>
        </row>
        <row r="351">
          <cell r="B351">
            <v>20</v>
          </cell>
        </row>
        <row r="354">
          <cell r="B354">
            <v>7.5</v>
          </cell>
        </row>
        <row r="356">
          <cell r="B356">
            <v>1.5</v>
          </cell>
        </row>
        <row r="357">
          <cell r="B357">
            <v>1</v>
          </cell>
        </row>
        <row r="359">
          <cell r="B359">
            <v>1.5</v>
          </cell>
        </row>
        <row r="360">
          <cell r="B360">
            <v>1</v>
          </cell>
        </row>
        <row r="362">
          <cell r="B362">
            <v>4.9999999999999998E-8</v>
          </cell>
        </row>
        <row r="364">
          <cell r="B364">
            <v>3.0000000000000001E-3</v>
          </cell>
        </row>
        <row r="367">
          <cell r="B367">
            <v>3.5000000000000001E-3</v>
          </cell>
          <cell r="D367">
            <v>3.5000000000000001E-3</v>
          </cell>
        </row>
        <row r="368">
          <cell r="B368">
            <v>4.0000000000000001E-3</v>
          </cell>
        </row>
        <row r="369">
          <cell r="B369">
            <v>6.7000000000000004E-8</v>
          </cell>
          <cell r="D369">
            <v>6.7000000000000004E-8</v>
          </cell>
        </row>
        <row r="370">
          <cell r="B370">
            <v>1.0310000000000001E-8</v>
          </cell>
        </row>
        <row r="371">
          <cell r="B371">
            <v>1.125E-8</v>
          </cell>
        </row>
        <row r="372">
          <cell r="B372">
            <v>0.63</v>
          </cell>
          <cell r="D372">
            <v>0.63</v>
          </cell>
        </row>
        <row r="373">
          <cell r="B373">
            <v>117</v>
          </cell>
          <cell r="D373">
            <v>117</v>
          </cell>
        </row>
        <row r="374">
          <cell r="B374">
            <v>2</v>
          </cell>
          <cell r="D374">
            <v>2</v>
          </cell>
        </row>
        <row r="375">
          <cell r="B375">
            <v>2.0854700854700856</v>
          </cell>
        </row>
        <row r="377">
          <cell r="B377">
            <v>0.75</v>
          </cell>
          <cell r="D377">
            <v>0.75</v>
          </cell>
        </row>
        <row r="378">
          <cell r="D378">
            <v>4.4999999999999999E-8</v>
          </cell>
        </row>
        <row r="379">
          <cell r="D379">
            <v>4.0000000000000001E-8</v>
          </cell>
        </row>
        <row r="380">
          <cell r="B380">
            <v>65</v>
          </cell>
          <cell r="D380">
            <v>65</v>
          </cell>
        </row>
        <row r="384">
          <cell r="B384">
            <v>3.5000000000000001E-3</v>
          </cell>
          <cell r="D384">
            <v>3.5000000000000001E-3</v>
          </cell>
        </row>
        <row r="385">
          <cell r="B385">
            <v>4.0000000000000001E-3</v>
          </cell>
        </row>
        <row r="386">
          <cell r="B386">
            <v>6.7000000000000004E-8</v>
          </cell>
          <cell r="D386">
            <v>6.7000000000000004E-8</v>
          </cell>
        </row>
        <row r="387">
          <cell r="D387">
            <v>1.0310000000000001E-8</v>
          </cell>
        </row>
        <row r="388">
          <cell r="D388">
            <v>1.125E-8</v>
          </cell>
        </row>
        <row r="389">
          <cell r="D389">
            <v>1</v>
          </cell>
        </row>
        <row r="390">
          <cell r="B390">
            <v>117</v>
          </cell>
          <cell r="D390">
            <v>117</v>
          </cell>
        </row>
        <row r="391">
          <cell r="B391">
            <v>2</v>
          </cell>
          <cell r="D391">
            <v>2</v>
          </cell>
        </row>
        <row r="392">
          <cell r="D392">
            <v>2.0102236944342207</v>
          </cell>
        </row>
        <row r="394">
          <cell r="B394">
            <v>0.75</v>
          </cell>
          <cell r="D394">
            <v>0.75</v>
          </cell>
        </row>
        <row r="395">
          <cell r="B395">
            <v>5.5999999999999999E-8</v>
          </cell>
        </row>
        <row r="397">
          <cell r="B397">
            <v>65</v>
          </cell>
          <cell r="D397">
            <v>65</v>
          </cell>
        </row>
        <row r="400">
          <cell r="B400">
            <v>0</v>
          </cell>
          <cell r="D400">
            <v>0</v>
          </cell>
        </row>
        <row r="401">
          <cell r="B401">
            <v>0</v>
          </cell>
          <cell r="D401">
            <v>0</v>
          </cell>
        </row>
        <row r="402">
          <cell r="B402">
            <v>0</v>
          </cell>
        </row>
        <row r="405">
          <cell r="B405">
            <v>30.5</v>
          </cell>
        </row>
        <row r="408">
          <cell r="B408">
            <v>6.2686051302288858E-9</v>
          </cell>
          <cell r="D408">
            <v>7.2566709065378439E-9</v>
          </cell>
        </row>
        <row r="409">
          <cell r="B409">
            <v>1.2454769877049178E-8</v>
          </cell>
          <cell r="D409">
            <v>1.5853956994059729E-8</v>
          </cell>
        </row>
      </sheetData>
      <sheetData sheetId="5">
        <row r="2">
          <cell r="B2">
            <v>2E-8</v>
          </cell>
        </row>
        <row r="4">
          <cell r="B4">
            <v>1</v>
          </cell>
        </row>
        <row r="5">
          <cell r="B5">
            <v>0</v>
          </cell>
        </row>
        <row r="6">
          <cell r="B6">
            <v>1</v>
          </cell>
        </row>
        <row r="8">
          <cell r="B8">
            <v>9.9999999999999995E-7</v>
          </cell>
        </row>
        <row r="9">
          <cell r="B9">
            <v>9.9999999999999995E-7</v>
          </cell>
        </row>
        <row r="10">
          <cell r="B10">
            <v>7.4999999999999997E-8</v>
          </cell>
        </row>
        <row r="11">
          <cell r="B11">
            <v>7.4999999999999997E-8</v>
          </cell>
        </row>
        <row r="12">
          <cell r="B12">
            <v>1.0000000000000002E-6</v>
          </cell>
        </row>
        <row r="13">
          <cell r="B13">
            <v>1.0000000000000002E-6</v>
          </cell>
        </row>
        <row r="14">
          <cell r="B14">
            <v>2</v>
          </cell>
        </row>
        <row r="15">
          <cell r="B15">
            <v>0.91666800000000004</v>
          </cell>
        </row>
        <row r="17">
          <cell r="B17">
            <v>4.4999999999999998E-7</v>
          </cell>
        </row>
        <row r="18">
          <cell r="B18">
            <v>2.8958229999999996E-7</v>
          </cell>
        </row>
        <row r="20">
          <cell r="B20">
            <v>1.6666666666666665E-7</v>
          </cell>
        </row>
        <row r="21">
          <cell r="B21">
            <v>2.5899372993446077E-7</v>
          </cell>
        </row>
        <row r="22">
          <cell r="B22">
            <v>2.5899372993446077E-7</v>
          </cell>
        </row>
        <row r="25">
          <cell r="B25">
            <v>3.3333333333333334E-8</v>
          </cell>
        </row>
        <row r="26">
          <cell r="B26">
            <v>3.3333333333333334E-8</v>
          </cell>
        </row>
        <row r="28">
          <cell r="B28">
            <v>2.3899372993446075E-7</v>
          </cell>
        </row>
        <row r="29">
          <cell r="B29">
            <v>2.7899372993446079E-7</v>
          </cell>
        </row>
        <row r="30">
          <cell r="B30">
            <v>1.9432284922877611E-6</v>
          </cell>
        </row>
        <row r="32">
          <cell r="B32">
            <v>2.3899372993446075E-7</v>
          </cell>
        </row>
        <row r="33">
          <cell r="B33">
            <v>1.8666666666666664E-7</v>
          </cell>
        </row>
        <row r="34">
          <cell r="B34">
            <v>2.0355555555555556E-6</v>
          </cell>
        </row>
        <row r="35">
          <cell r="B35">
            <v>1.8666666666666643E-7</v>
          </cell>
        </row>
        <row r="36">
          <cell r="B36">
            <v>1.3333333333333334E-8</v>
          </cell>
        </row>
        <row r="37">
          <cell r="B37">
            <v>3.3333333333333334E-8</v>
          </cell>
        </row>
        <row r="39">
          <cell r="B39">
            <v>4.2566039660112745E-7</v>
          </cell>
        </row>
        <row r="40">
          <cell r="B40">
            <v>1.7965618256210947E-6</v>
          </cell>
        </row>
        <row r="41">
          <cell r="B41">
            <v>3.7232706326779411E-7</v>
          </cell>
        </row>
      </sheetData>
      <sheetData sheetId="6"/>
      <sheetData sheetId="7">
        <row r="2">
          <cell r="A2" t="str">
            <v>SCH_RCS</v>
          </cell>
        </row>
      </sheetData>
      <sheetData sheetId="8">
        <row r="2">
          <cell r="A2" t="str">
            <v>EFF_VIN</v>
          </cell>
        </row>
      </sheetData>
      <sheetData sheetId="9"/>
      <sheetData sheetId="10"/>
      <sheetData sheetId="11">
        <row r="3">
          <cell r="K3">
            <v>994718.39432434586</v>
          </cell>
          <cell r="N3">
            <v>225000</v>
          </cell>
          <cell r="Q3">
            <v>34548.220888889366</v>
          </cell>
        </row>
        <row r="4">
          <cell r="C4">
            <v>2411.438531695384</v>
          </cell>
          <cell r="K4">
            <v>1591.5494309189535</v>
          </cell>
          <cell r="N4">
            <v>30892.675013436681</v>
          </cell>
        </row>
        <row r="5">
          <cell r="C5">
            <v>0.48219126808545959</v>
          </cell>
          <cell r="K5">
            <v>10000000</v>
          </cell>
          <cell r="N5">
            <v>50625000000.010002</v>
          </cell>
        </row>
        <row r="6">
          <cell r="Q6">
            <v>57.295779513082323</v>
          </cell>
        </row>
        <row r="7">
          <cell r="C7">
            <v>36071.212385318155</v>
          </cell>
        </row>
      </sheetData>
      <sheetData sheetId="12">
        <row r="21">
          <cell r="O21">
            <v>4.99</v>
          </cell>
        </row>
      </sheetData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 bwMode="auto">
        <a:noFill/>
        <a:ln w="9525">
          <a:noFill/>
          <a:miter lim="800000"/>
          <a:headEnd/>
          <a:tailEnd/>
        </a:ln>
      </a:spPr>
      <a:bodyPr vertOverflow="clip" wrap="square" lIns="27432" tIns="27432" rIns="0" bIns="0" anchor="t" upright="1"/>
      <a:lstStyle>
        <a:defPPr algn="l" rtl="0">
          <a:defRPr sz="1100" b="0" i="0" strike="noStrike">
            <a:solidFill>
              <a:srgbClr val="000000"/>
            </a:solidFill>
            <a:latin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://www.ti.com/product/lm5176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://www.ti.com/pol" TargetMode="Externa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ti.com/nexfe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I462"/>
  <sheetViews>
    <sheetView tabSelected="1" zoomScaleNormal="100" zoomScaleSheetLayoutView="100" workbookViewId="0">
      <selection activeCell="E6" sqref="E6"/>
    </sheetView>
  </sheetViews>
  <sheetFormatPr defaultColWidth="9.140625" defaultRowHeight="12.75" x14ac:dyDescent="0.2"/>
  <cols>
    <col min="1" max="1" width="8.28515625" style="199" customWidth="1"/>
    <col min="2" max="2" width="8.28515625" style="82" customWidth="1"/>
    <col min="3" max="3" width="13.5703125" style="82" customWidth="1"/>
    <col min="4" max="4" width="8.28515625" style="82" customWidth="1"/>
    <col min="5" max="5" width="6.85546875" style="82" customWidth="1"/>
    <col min="6" max="6" width="7.5703125" style="82" customWidth="1"/>
    <col min="7" max="8" width="11.85546875" style="82" customWidth="1"/>
    <col min="9" max="9" width="9.140625" style="82"/>
    <col min="10" max="10" width="12.42578125" style="82" bestFit="1" customWidth="1"/>
    <col min="11" max="11" width="9.140625" style="82"/>
    <col min="12" max="12" width="12.42578125" style="82" bestFit="1" customWidth="1"/>
    <col min="13" max="15" width="9.140625" style="82"/>
    <col min="16" max="16" width="10.140625" style="82" customWidth="1"/>
    <col min="17" max="17" width="37.28515625" style="82" customWidth="1"/>
    <col min="18" max="18" width="3.140625" style="82" customWidth="1"/>
    <col min="19" max="19" width="10" style="82" bestFit="1" customWidth="1"/>
    <col min="20" max="16384" width="9.140625" style="82"/>
  </cols>
  <sheetData>
    <row r="1" spans="1:18" ht="47.25" customHeight="1" x14ac:dyDescent="0.2">
      <c r="A1" s="643" t="s">
        <v>958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552"/>
    </row>
    <row r="2" spans="1:18" ht="16.5" customHeight="1" x14ac:dyDescent="0.45">
      <c r="A2" s="555"/>
      <c r="B2" s="556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637" t="s">
        <v>961</v>
      </c>
      <c r="P2" s="556"/>
      <c r="Q2" s="556"/>
      <c r="R2" s="552"/>
    </row>
    <row r="3" spans="1:18" ht="15.95" customHeight="1" x14ac:dyDescent="0.45">
      <c r="A3" s="557" t="s">
        <v>299</v>
      </c>
      <c r="B3" s="558"/>
      <c r="C3" s="569" t="s">
        <v>300</v>
      </c>
      <c r="D3" s="559"/>
      <c r="E3" s="124"/>
      <c r="F3" s="563" t="s">
        <v>177</v>
      </c>
      <c r="G3" s="564"/>
      <c r="H3" s="556"/>
      <c r="I3" s="556"/>
      <c r="J3" s="564"/>
      <c r="K3" s="565"/>
      <c r="L3" s="566"/>
      <c r="M3" s="552"/>
      <c r="N3" s="552"/>
      <c r="O3" s="642" t="s">
        <v>55</v>
      </c>
      <c r="P3" s="642"/>
      <c r="Q3" s="552" t="s">
        <v>201</v>
      </c>
      <c r="R3" s="552"/>
    </row>
    <row r="4" spans="1:18" ht="6" customHeight="1" thickBot="1" x14ac:dyDescent="0.35">
      <c r="A4" s="560"/>
      <c r="B4" s="561"/>
      <c r="C4" s="562"/>
      <c r="D4" s="562"/>
      <c r="E4" s="562"/>
      <c r="F4" s="562"/>
      <c r="G4" s="562"/>
      <c r="H4" s="562"/>
      <c r="I4" s="562"/>
      <c r="J4" s="562"/>
      <c r="K4" s="562"/>
      <c r="L4" s="562"/>
      <c r="M4" s="567"/>
      <c r="N4" s="567"/>
      <c r="O4" s="567"/>
      <c r="P4" s="567"/>
      <c r="Q4" s="568"/>
      <c r="R4" s="552"/>
    </row>
    <row r="5" spans="1:18" ht="20.100000000000001" customHeight="1" thickBot="1" x14ac:dyDescent="0.35">
      <c r="A5" s="194" t="s">
        <v>281</v>
      </c>
      <c r="B5" s="123"/>
      <c r="C5" s="83"/>
      <c r="D5" s="83"/>
      <c r="E5" s="85"/>
      <c r="F5" s="83"/>
      <c r="G5" s="112"/>
      <c r="H5" s="86"/>
      <c r="I5" s="86"/>
      <c r="J5" s="86"/>
      <c r="K5" s="86"/>
      <c r="L5" s="639" t="s">
        <v>983</v>
      </c>
      <c r="M5" s="638" t="s">
        <v>982</v>
      </c>
      <c r="N5" s="86"/>
      <c r="O5" s="86"/>
      <c r="P5" s="86"/>
      <c r="Q5" s="111"/>
      <c r="R5" s="552"/>
    </row>
    <row r="6" spans="1:18" ht="13.5" customHeight="1" x14ac:dyDescent="0.2">
      <c r="A6" s="282"/>
      <c r="B6" s="283"/>
      <c r="C6" s="284"/>
      <c r="D6" s="285" t="s">
        <v>727</v>
      </c>
      <c r="E6" s="286">
        <v>6</v>
      </c>
      <c r="F6" s="287" t="s">
        <v>0</v>
      </c>
      <c r="G6" s="134"/>
      <c r="H6" s="132"/>
      <c r="I6" s="86"/>
      <c r="J6" s="86"/>
      <c r="K6" s="86"/>
      <c r="L6" s="86"/>
      <c r="M6" s="86"/>
      <c r="N6" s="86"/>
      <c r="O6" s="86"/>
      <c r="P6" s="86"/>
      <c r="Q6" s="111"/>
      <c r="R6" s="552"/>
    </row>
    <row r="7" spans="1:18" ht="13.5" customHeight="1" x14ac:dyDescent="0.2">
      <c r="A7" s="272"/>
      <c r="B7" s="271"/>
      <c r="C7" s="273"/>
      <c r="D7" s="288" t="s">
        <v>728</v>
      </c>
      <c r="E7" s="289">
        <v>12</v>
      </c>
      <c r="F7" s="305" t="s">
        <v>0</v>
      </c>
      <c r="G7" s="134"/>
      <c r="H7" s="132"/>
      <c r="I7" s="86"/>
      <c r="J7" s="86"/>
      <c r="K7" s="86"/>
      <c r="L7" s="86"/>
      <c r="M7" s="86"/>
      <c r="N7" s="86"/>
      <c r="O7" s="86"/>
      <c r="P7" s="86"/>
      <c r="Q7" s="111"/>
      <c r="R7" s="552"/>
    </row>
    <row r="8" spans="1:18" ht="13.5" customHeight="1" x14ac:dyDescent="0.2">
      <c r="A8" s="272"/>
      <c r="B8" s="271"/>
      <c r="C8" s="273"/>
      <c r="D8" s="288" t="s">
        <v>729</v>
      </c>
      <c r="E8" s="289">
        <v>36</v>
      </c>
      <c r="F8" s="290" t="s">
        <v>0</v>
      </c>
      <c r="G8" s="134"/>
      <c r="H8" s="132"/>
      <c r="I8" s="86"/>
      <c r="J8" s="86"/>
      <c r="K8" s="86"/>
      <c r="L8" s="86"/>
      <c r="M8" s="86"/>
      <c r="N8" s="86"/>
      <c r="O8" s="86"/>
      <c r="P8" s="86"/>
      <c r="Q8" s="111"/>
      <c r="R8" s="552"/>
    </row>
    <row r="9" spans="1:18" ht="13.5" customHeight="1" x14ac:dyDescent="0.2">
      <c r="A9" s="272"/>
      <c r="B9" s="271"/>
      <c r="C9" s="273"/>
      <c r="D9" s="288" t="s">
        <v>360</v>
      </c>
      <c r="E9" s="289">
        <v>12</v>
      </c>
      <c r="F9" s="290" t="s">
        <v>0</v>
      </c>
      <c r="G9" s="134"/>
      <c r="H9" s="132"/>
      <c r="I9" s="86"/>
      <c r="J9" s="86"/>
      <c r="K9" s="86"/>
      <c r="L9" s="86"/>
      <c r="M9" s="86"/>
      <c r="N9" s="86"/>
      <c r="O9" s="86"/>
      <c r="P9" s="86"/>
      <c r="Q9" s="111"/>
      <c r="R9" s="552"/>
    </row>
    <row r="10" spans="1:18" ht="13.5" customHeight="1" x14ac:dyDescent="0.2">
      <c r="A10" s="272"/>
      <c r="B10" s="271"/>
      <c r="C10" s="273"/>
      <c r="D10" s="288" t="s">
        <v>887</v>
      </c>
      <c r="E10" s="289">
        <v>12</v>
      </c>
      <c r="F10" s="290" t="s">
        <v>2</v>
      </c>
      <c r="G10" s="134"/>
      <c r="H10" s="132"/>
      <c r="I10" s="86"/>
      <c r="J10" s="86"/>
      <c r="K10" s="86"/>
      <c r="L10" s="86"/>
      <c r="M10" s="86"/>
      <c r="N10" s="86"/>
      <c r="O10" s="86"/>
      <c r="P10" s="86"/>
      <c r="Q10" s="111"/>
      <c r="R10" s="552"/>
    </row>
    <row r="11" spans="1:18" ht="13.5" customHeight="1" x14ac:dyDescent="0.2">
      <c r="A11" s="272"/>
      <c r="B11" s="271"/>
      <c r="C11" s="273"/>
      <c r="D11" s="288" t="s">
        <v>98</v>
      </c>
      <c r="E11" s="291">
        <v>250</v>
      </c>
      <c r="F11" s="290" t="s">
        <v>3</v>
      </c>
      <c r="G11" s="134"/>
      <c r="H11" s="132"/>
      <c r="I11" s="86"/>
      <c r="J11" s="86"/>
      <c r="K11" s="86"/>
      <c r="L11" s="86"/>
      <c r="M11" s="86"/>
      <c r="N11" s="86"/>
      <c r="O11" s="86"/>
      <c r="P11" s="86"/>
      <c r="Q11" s="111"/>
      <c r="R11" s="552"/>
    </row>
    <row r="12" spans="1:18" ht="17.25" customHeight="1" thickBot="1" x14ac:dyDescent="0.25">
      <c r="A12" s="277"/>
      <c r="B12" s="278"/>
      <c r="C12" s="279"/>
      <c r="D12" s="279" t="s">
        <v>362</v>
      </c>
      <c r="E12" s="279">
        <f>IF('Standard Value Calculator'!O4/1000&gt;288, "N/A",'Standard Value Calculator'!O4/1000)</f>
        <v>33.200000000000003</v>
      </c>
      <c r="F12" s="281" t="s">
        <v>54</v>
      </c>
      <c r="G12" s="134"/>
      <c r="H12" s="132"/>
      <c r="I12" s="86"/>
      <c r="J12" s="86"/>
      <c r="K12" s="86"/>
      <c r="L12" s="86"/>
      <c r="M12" s="86"/>
      <c r="N12" s="86"/>
      <c r="O12" s="86"/>
      <c r="P12" s="86"/>
      <c r="Q12" s="111"/>
      <c r="R12" s="552"/>
    </row>
    <row r="13" spans="1:18" ht="14.1" customHeight="1" x14ac:dyDescent="0.2">
      <c r="A13" s="131"/>
      <c r="B13" s="132"/>
      <c r="C13" s="132"/>
      <c r="D13" s="137"/>
      <c r="E13" s="138"/>
      <c r="F13" s="132"/>
      <c r="G13" s="134"/>
      <c r="H13" s="132"/>
      <c r="I13" s="86"/>
      <c r="J13" s="86"/>
      <c r="K13" s="86"/>
      <c r="L13" s="86"/>
      <c r="M13" s="86"/>
      <c r="N13" s="86"/>
      <c r="O13" s="86"/>
      <c r="P13" s="86"/>
      <c r="Q13" s="111"/>
      <c r="R13" s="552"/>
    </row>
    <row r="14" spans="1:18" ht="19.5" customHeight="1" thickBot="1" x14ac:dyDescent="0.35">
      <c r="A14" s="194" t="s">
        <v>280</v>
      </c>
      <c r="B14" s="139"/>
      <c r="C14" s="140"/>
      <c r="D14" s="140"/>
      <c r="E14" s="141"/>
      <c r="F14" s="140"/>
      <c r="G14" s="134"/>
      <c r="H14" s="132"/>
      <c r="I14" s="86"/>
      <c r="J14" s="86"/>
      <c r="K14" s="86"/>
      <c r="L14" s="86"/>
      <c r="M14" s="86"/>
      <c r="N14" s="86"/>
      <c r="O14" s="86"/>
      <c r="P14" s="86"/>
      <c r="Q14" s="111"/>
      <c r="R14" s="552"/>
    </row>
    <row r="15" spans="1:18" ht="13.5" customHeight="1" x14ac:dyDescent="0.2">
      <c r="A15" s="195"/>
      <c r="B15" s="161"/>
      <c r="C15" s="162"/>
      <c r="D15" s="162" t="s">
        <v>294</v>
      </c>
      <c r="E15" s="450">
        <f>Lopt*1000000</f>
        <v>2.4166666666666665</v>
      </c>
      <c r="F15" s="169" t="s">
        <v>270</v>
      </c>
      <c r="G15" s="134"/>
      <c r="H15" s="132"/>
      <c r="I15" s="86"/>
      <c r="J15" s="86"/>
      <c r="K15" s="86"/>
      <c r="L15" s="86"/>
      <c r="M15" s="86"/>
      <c r="N15" s="86"/>
      <c r="O15" s="86"/>
      <c r="P15" s="86"/>
      <c r="Q15" s="111"/>
      <c r="R15" s="552"/>
    </row>
    <row r="16" spans="1:18" ht="13.5" customHeight="1" x14ac:dyDescent="0.25">
      <c r="A16" s="131"/>
      <c r="B16" s="132"/>
      <c r="C16" s="129"/>
      <c r="D16" s="160" t="s">
        <v>361</v>
      </c>
      <c r="E16" s="133">
        <v>4.7</v>
      </c>
      <c r="F16" s="165" t="s">
        <v>270</v>
      </c>
      <c r="G16" s="134"/>
      <c r="H16" s="132"/>
      <c r="I16" s="86"/>
      <c r="J16" s="86"/>
      <c r="K16" s="86"/>
      <c r="L16" s="86"/>
      <c r="M16" s="86"/>
      <c r="N16" s="86"/>
      <c r="O16" s="86"/>
      <c r="P16" s="86"/>
      <c r="Q16" s="111"/>
      <c r="R16" s="552"/>
    </row>
    <row r="17" spans="1:18" ht="13.5" customHeight="1" x14ac:dyDescent="0.2">
      <c r="A17" s="131"/>
      <c r="B17" s="132"/>
      <c r="C17" s="129"/>
      <c r="D17" s="160" t="s">
        <v>295</v>
      </c>
      <c r="E17" s="133">
        <v>3.35</v>
      </c>
      <c r="F17" s="165" t="s">
        <v>53</v>
      </c>
      <c r="G17" s="134"/>
      <c r="H17" s="132"/>
      <c r="I17" s="86"/>
      <c r="J17" s="86"/>
      <c r="K17" s="86"/>
      <c r="L17" s="86"/>
      <c r="M17" s="86"/>
      <c r="N17" s="86"/>
      <c r="O17" s="86"/>
      <c r="P17" s="86"/>
      <c r="Q17" s="111"/>
      <c r="R17" s="552"/>
    </row>
    <row r="18" spans="1:18" ht="13.5" customHeight="1" x14ac:dyDescent="0.2">
      <c r="A18" s="272"/>
      <c r="B18" s="271"/>
      <c r="C18" s="273"/>
      <c r="D18" s="273" t="s">
        <v>730</v>
      </c>
      <c r="E18" s="274">
        <f>'Variable Management'!B78</f>
        <v>2.6144451865280032</v>
      </c>
      <c r="F18" s="275" t="s">
        <v>286</v>
      </c>
      <c r="G18" s="134"/>
      <c r="H18" s="132"/>
      <c r="I18" s="86"/>
      <c r="J18" s="86"/>
      <c r="K18" s="86"/>
      <c r="L18" s="86"/>
      <c r="M18" s="86"/>
      <c r="N18" s="86"/>
      <c r="O18" s="86"/>
      <c r="P18" s="86"/>
      <c r="Q18" s="111"/>
      <c r="R18" s="552"/>
    </row>
    <row r="19" spans="1:18" ht="13.5" customHeight="1" x14ac:dyDescent="0.2">
      <c r="A19" s="272"/>
      <c r="B19" s="271"/>
      <c r="C19" s="273"/>
      <c r="D19" s="273" t="s">
        <v>731</v>
      </c>
      <c r="E19" s="274">
        <f>'Variable Management'!B79</f>
        <v>3.8183890577507588E-2</v>
      </c>
      <c r="F19" s="275" t="s">
        <v>286</v>
      </c>
      <c r="G19" s="134"/>
      <c r="H19" s="132"/>
      <c r="I19" s="86"/>
      <c r="J19" s="86"/>
      <c r="K19" s="86"/>
      <c r="L19" s="86"/>
      <c r="M19" s="86"/>
      <c r="N19" s="86"/>
      <c r="O19" s="86"/>
      <c r="P19" s="86"/>
      <c r="Q19" s="111"/>
      <c r="R19" s="552"/>
    </row>
    <row r="20" spans="1:18" ht="13.5" customHeight="1" x14ac:dyDescent="0.2">
      <c r="A20" s="272"/>
      <c r="B20" s="271"/>
      <c r="C20" s="273"/>
      <c r="D20" s="273" t="s">
        <v>732</v>
      </c>
      <c r="E20" s="274">
        <f>'Variable Management'!B80</f>
        <v>6.8494206306484964</v>
      </c>
      <c r="F20" s="275" t="s">
        <v>286</v>
      </c>
      <c r="G20" s="134"/>
      <c r="H20" s="132"/>
      <c r="I20" s="86"/>
      <c r="J20" s="86"/>
      <c r="K20" s="86"/>
      <c r="L20" s="86"/>
      <c r="M20" s="86"/>
      <c r="N20" s="86"/>
      <c r="O20" s="86"/>
      <c r="P20" s="86"/>
      <c r="Q20" s="111"/>
      <c r="R20" s="552"/>
    </row>
    <row r="21" spans="1:18" ht="15" customHeight="1" x14ac:dyDescent="0.2">
      <c r="A21" s="272"/>
      <c r="B21" s="271"/>
      <c r="C21" s="273"/>
      <c r="D21" s="273" t="s">
        <v>413</v>
      </c>
      <c r="E21" s="276">
        <f>'Variable Management'!B90*100</f>
        <v>9.8041694494800122</v>
      </c>
      <c r="F21" s="275" t="s">
        <v>187</v>
      </c>
      <c r="G21" s="134"/>
      <c r="H21" s="132"/>
      <c r="I21" s="86"/>
      <c r="J21" s="86"/>
      <c r="K21" s="86"/>
      <c r="L21" s="86"/>
      <c r="M21" s="86"/>
      <c r="N21" s="86"/>
      <c r="O21" s="86"/>
      <c r="P21" s="86"/>
      <c r="Q21" s="111"/>
      <c r="R21" s="552"/>
    </row>
    <row r="22" spans="1:18" ht="15" customHeight="1" x14ac:dyDescent="0.2">
      <c r="A22" s="272"/>
      <c r="B22" s="271"/>
      <c r="C22" s="273"/>
      <c r="D22" s="273" t="s">
        <v>414</v>
      </c>
      <c r="E22" s="276">
        <f>'Variable Management'!B91*100</f>
        <v>0.28637917933130691</v>
      </c>
      <c r="F22" s="275" t="s">
        <v>187</v>
      </c>
      <c r="G22" s="134"/>
      <c r="H22" s="132"/>
      <c r="I22" s="86"/>
      <c r="J22" s="86"/>
      <c r="K22" s="86"/>
      <c r="L22" s="86"/>
      <c r="M22" s="86"/>
      <c r="N22" s="86"/>
      <c r="O22" s="86"/>
      <c r="P22" s="86"/>
      <c r="Q22" s="111"/>
      <c r="R22" s="552"/>
    </row>
    <row r="23" spans="1:18" ht="15.75" customHeight="1" thickBot="1" x14ac:dyDescent="0.25">
      <c r="A23" s="277"/>
      <c r="B23" s="278"/>
      <c r="C23" s="279"/>
      <c r="D23" s="279" t="s">
        <v>415</v>
      </c>
      <c r="E23" s="280">
        <f>'Variable Management'!B92*100</f>
        <v>57.078505255404131</v>
      </c>
      <c r="F23" s="281" t="s">
        <v>187</v>
      </c>
      <c r="G23" s="134"/>
      <c r="H23" s="132"/>
      <c r="I23" s="86"/>
      <c r="J23" s="86"/>
      <c r="K23" s="86"/>
      <c r="L23" s="86"/>
      <c r="M23" s="86"/>
      <c r="N23" s="86"/>
      <c r="O23" s="86"/>
      <c r="P23" s="86"/>
      <c r="Q23" s="111"/>
      <c r="R23" s="552"/>
    </row>
    <row r="24" spans="1:18" ht="14.1" customHeight="1" x14ac:dyDescent="0.2">
      <c r="A24" s="131"/>
      <c r="B24" s="132"/>
      <c r="C24" s="132"/>
      <c r="D24" s="132"/>
      <c r="E24" s="132"/>
      <c r="F24" s="132"/>
      <c r="G24" s="134"/>
      <c r="H24" s="132"/>
      <c r="I24" s="86"/>
      <c r="J24" s="86"/>
      <c r="K24" s="86"/>
      <c r="L24" s="86"/>
      <c r="M24" s="86"/>
      <c r="N24" s="86"/>
      <c r="O24" s="86"/>
      <c r="P24" s="86"/>
      <c r="Q24" s="111"/>
      <c r="R24" s="552"/>
    </row>
    <row r="25" spans="1:18" ht="20.100000000000001" customHeight="1" thickBot="1" x14ac:dyDescent="0.35">
      <c r="A25" s="194" t="s">
        <v>671</v>
      </c>
      <c r="B25" s="139"/>
      <c r="C25" s="132"/>
      <c r="D25" s="132"/>
      <c r="E25" s="132"/>
      <c r="F25" s="132"/>
      <c r="G25" s="134"/>
      <c r="H25" s="132"/>
      <c r="I25" s="86"/>
      <c r="J25" s="86"/>
      <c r="K25" s="86"/>
      <c r="L25" s="86"/>
      <c r="M25" s="86"/>
      <c r="N25" s="86"/>
      <c r="O25" s="86"/>
      <c r="P25" s="86"/>
      <c r="Q25" s="111"/>
      <c r="R25" s="552"/>
    </row>
    <row r="26" spans="1:18" ht="15" customHeight="1" x14ac:dyDescent="0.25">
      <c r="A26" s="282"/>
      <c r="B26" s="161"/>
      <c r="C26" s="161"/>
      <c r="D26" s="163" t="s">
        <v>740</v>
      </c>
      <c r="E26" s="323">
        <v>12</v>
      </c>
      <c r="F26" s="164" t="s">
        <v>2</v>
      </c>
      <c r="G26" s="134"/>
      <c r="H26" s="132"/>
      <c r="I26" s="86"/>
      <c r="J26" s="86"/>
      <c r="K26" s="86"/>
      <c r="L26" s="86"/>
      <c r="M26" s="86"/>
      <c r="N26" s="86"/>
      <c r="O26" s="86"/>
      <c r="P26" s="86"/>
      <c r="Q26" s="111"/>
      <c r="R26" s="552"/>
    </row>
    <row r="27" spans="1:18" ht="15" customHeight="1" x14ac:dyDescent="0.2">
      <c r="A27" s="272"/>
      <c r="B27" s="132"/>
      <c r="C27" s="132"/>
      <c r="D27" s="129" t="s">
        <v>419</v>
      </c>
      <c r="E27" s="325">
        <f>Rs_ideal*1000</f>
        <v>4.2897145579211973</v>
      </c>
      <c r="F27" s="170" t="s">
        <v>53</v>
      </c>
      <c r="G27" s="134"/>
      <c r="H27" s="132"/>
      <c r="I27" s="86"/>
      <c r="J27" s="86"/>
      <c r="K27" s="86"/>
      <c r="L27" s="86"/>
      <c r="M27" s="86"/>
      <c r="N27" s="86"/>
      <c r="O27" s="86"/>
      <c r="P27" s="86"/>
      <c r="Q27" s="111"/>
      <c r="R27" s="552"/>
    </row>
    <row r="28" spans="1:18" ht="13.7" customHeight="1" x14ac:dyDescent="0.25">
      <c r="A28" s="272"/>
      <c r="B28" s="132"/>
      <c r="C28" s="132"/>
      <c r="D28" s="160" t="s">
        <v>417</v>
      </c>
      <c r="E28" s="133">
        <v>4</v>
      </c>
      <c r="F28" s="165" t="s">
        <v>53</v>
      </c>
      <c r="G28" s="134"/>
      <c r="H28" s="132"/>
      <c r="I28" s="86"/>
      <c r="J28" s="86"/>
      <c r="K28" s="86"/>
      <c r="L28" s="86"/>
      <c r="M28" s="86"/>
      <c r="N28" s="86"/>
      <c r="O28" s="86"/>
      <c r="P28" s="86"/>
      <c r="Q28" s="111"/>
      <c r="R28" s="552"/>
    </row>
    <row r="29" spans="1:18" ht="13.5" customHeight="1" x14ac:dyDescent="0.3">
      <c r="A29" s="272"/>
      <c r="B29" s="132"/>
      <c r="C29" s="132"/>
      <c r="D29" s="591" t="s">
        <v>940</v>
      </c>
      <c r="E29" s="617">
        <f>'Variable Management'!B135</f>
        <v>30</v>
      </c>
      <c r="F29" s="170" t="s">
        <v>2</v>
      </c>
      <c r="G29" s="134"/>
      <c r="H29" s="132"/>
      <c r="I29" s="86"/>
      <c r="J29" s="86"/>
      <c r="K29" s="86"/>
      <c r="L29" s="86"/>
      <c r="M29" s="86"/>
      <c r="N29" s="86"/>
      <c r="O29" s="86"/>
      <c r="P29" s="86"/>
      <c r="Q29" s="111"/>
      <c r="R29" s="552"/>
    </row>
    <row r="30" spans="1:18" ht="13.7" customHeight="1" x14ac:dyDescent="0.2">
      <c r="A30" s="272"/>
      <c r="B30" s="132"/>
      <c r="C30" s="132"/>
      <c r="D30" s="591" t="str">
        <f>IF('Variable Management'!B85&gt;'Variable Management'!B83, "Power Loss in Rs at Full Load (Max VIN)", "Power Loss in Rs at Full Load (Min VIN)")</f>
        <v>Power Loss in Rs at Full Load (Min VIN)</v>
      </c>
      <c r="E30" s="592">
        <f>'Variable Management'!B86</f>
        <v>1.4575093518821707</v>
      </c>
      <c r="F30" s="170" t="s">
        <v>120</v>
      </c>
      <c r="G30" s="134"/>
      <c r="H30" s="132"/>
      <c r="I30" s="86"/>
      <c r="J30" s="86"/>
      <c r="K30" s="86"/>
      <c r="L30" s="86"/>
      <c r="M30" s="86"/>
      <c r="N30" s="86"/>
      <c r="O30" s="86"/>
      <c r="P30" s="86"/>
      <c r="Q30" s="111"/>
      <c r="R30" s="552"/>
    </row>
    <row r="31" spans="1:18" ht="13.7" customHeight="1" x14ac:dyDescent="0.2">
      <c r="A31" s="272"/>
      <c r="B31" s="132"/>
      <c r="C31" s="129"/>
      <c r="D31" s="129" t="s">
        <v>416</v>
      </c>
      <c r="E31" s="159">
        <f>'Standard Value Calculator'!O14</f>
        <v>470.00000000000006</v>
      </c>
      <c r="F31" s="170" t="s">
        <v>32</v>
      </c>
      <c r="G31" s="134"/>
      <c r="H31" s="132"/>
      <c r="I31" s="86"/>
      <c r="J31" s="86"/>
      <c r="K31" s="86"/>
      <c r="L31" s="86"/>
      <c r="M31" s="86"/>
      <c r="N31" s="86"/>
      <c r="O31" s="86"/>
      <c r="P31" s="86"/>
      <c r="Q31" s="111"/>
      <c r="R31" s="552"/>
    </row>
    <row r="32" spans="1:18" ht="13.7" customHeight="1" x14ac:dyDescent="0.25">
      <c r="A32" s="272"/>
      <c r="B32" s="132"/>
      <c r="C32" s="132"/>
      <c r="D32" s="160" t="s">
        <v>420</v>
      </c>
      <c r="E32" s="133">
        <v>270</v>
      </c>
      <c r="F32" s="165" t="s">
        <v>32</v>
      </c>
      <c r="G32" s="134"/>
      <c r="H32" s="132"/>
      <c r="I32" s="86"/>
      <c r="J32" s="86"/>
      <c r="K32" s="86"/>
      <c r="L32" s="86"/>
      <c r="M32" s="86"/>
      <c r="N32" s="86"/>
      <c r="O32" s="86"/>
      <c r="P32" s="86"/>
      <c r="Q32" s="111"/>
      <c r="R32" s="552"/>
    </row>
    <row r="33" spans="1:18" ht="13.5" customHeight="1" x14ac:dyDescent="0.3">
      <c r="A33" s="272"/>
      <c r="B33" s="132"/>
      <c r="C33" s="117"/>
      <c r="D33" s="324" t="s">
        <v>369</v>
      </c>
      <c r="E33" s="274">
        <f>'Variable Management'!B127</f>
        <v>14.002204041650426</v>
      </c>
      <c r="F33" s="275" t="s">
        <v>2</v>
      </c>
      <c r="G33" s="134"/>
      <c r="H33" s="132"/>
      <c r="I33" s="86"/>
      <c r="J33" s="86"/>
      <c r="K33" s="86"/>
      <c r="L33" s="86"/>
      <c r="M33" s="86"/>
      <c r="N33" s="86"/>
      <c r="O33" s="86"/>
      <c r="P33" s="86"/>
      <c r="Q33" s="111"/>
      <c r="R33" s="552"/>
    </row>
    <row r="34" spans="1:18" ht="15" customHeight="1" x14ac:dyDescent="0.3">
      <c r="A34" s="272"/>
      <c r="B34" s="132"/>
      <c r="C34" s="129" t="s">
        <v>737</v>
      </c>
      <c r="D34" s="324" t="s">
        <v>370</v>
      </c>
      <c r="E34" s="274">
        <f>'Variable Management'!B128</f>
        <v>19.906202650712046</v>
      </c>
      <c r="F34" s="275" t="s">
        <v>2</v>
      </c>
      <c r="G34" s="134"/>
      <c r="H34" s="132"/>
      <c r="I34" s="86"/>
      <c r="J34" s="86"/>
      <c r="K34" s="86"/>
      <c r="L34" s="86"/>
      <c r="M34" s="86"/>
      <c r="N34" s="86"/>
      <c r="O34" s="86"/>
      <c r="P34" s="86"/>
      <c r="Q34" s="111"/>
      <c r="R34" s="552"/>
    </row>
    <row r="35" spans="1:18" ht="15.75" customHeight="1" x14ac:dyDescent="0.3">
      <c r="A35" s="272"/>
      <c r="B35" s="132"/>
      <c r="C35" s="132"/>
      <c r="D35" s="324" t="s">
        <v>371</v>
      </c>
      <c r="E35" s="274">
        <f>'Variable Management'!B129</f>
        <v>23.424710315324248</v>
      </c>
      <c r="F35" s="275" t="s">
        <v>2</v>
      </c>
      <c r="G35" s="134"/>
      <c r="H35" s="132"/>
      <c r="I35" s="86"/>
      <c r="J35" s="86"/>
      <c r="K35" s="86"/>
      <c r="L35" s="86"/>
      <c r="M35" s="86"/>
      <c r="N35" s="86"/>
      <c r="O35" s="86"/>
      <c r="P35" s="86"/>
      <c r="Q35" s="111"/>
      <c r="R35" s="552"/>
    </row>
    <row r="36" spans="1:18" ht="13.7" customHeight="1" x14ac:dyDescent="0.2">
      <c r="A36" s="272"/>
      <c r="B36" s="132"/>
      <c r="C36" s="132"/>
      <c r="D36" s="160" t="s">
        <v>965</v>
      </c>
      <c r="E36" s="297">
        <v>12</v>
      </c>
      <c r="F36" s="165" t="s">
        <v>2</v>
      </c>
      <c r="G36" s="134"/>
      <c r="H36" s="132"/>
      <c r="I36" s="86"/>
      <c r="J36" s="86"/>
      <c r="K36" s="86"/>
      <c r="L36" s="86"/>
      <c r="M36" s="86"/>
      <c r="N36" s="86"/>
      <c r="O36" s="86"/>
      <c r="P36" s="86"/>
      <c r="Q36" s="111"/>
      <c r="R36" s="552"/>
    </row>
    <row r="37" spans="1:18" ht="16.5" customHeight="1" thickBot="1" x14ac:dyDescent="0.35">
      <c r="A37" s="277"/>
      <c r="B37" s="167"/>
      <c r="C37" s="167"/>
      <c r="D37" s="130" t="s">
        <v>790</v>
      </c>
      <c r="E37" s="538">
        <f>Rshunt</f>
        <v>4.166666666666667</v>
      </c>
      <c r="F37" s="168" t="s">
        <v>53</v>
      </c>
      <c r="G37" s="136"/>
      <c r="H37" s="132"/>
      <c r="I37" s="86"/>
      <c r="J37" s="86"/>
      <c r="K37" s="86"/>
      <c r="L37" s="86"/>
      <c r="M37" s="86"/>
      <c r="N37" s="86"/>
      <c r="O37" s="86"/>
      <c r="P37" s="86"/>
      <c r="Q37" s="111"/>
      <c r="R37" s="552"/>
    </row>
    <row r="38" spans="1:18" ht="14.1" customHeight="1" x14ac:dyDescent="0.2">
      <c r="A38" s="131"/>
      <c r="B38" s="132"/>
      <c r="C38" s="142"/>
      <c r="D38" s="142"/>
      <c r="E38" s="142"/>
      <c r="F38" s="142"/>
      <c r="G38" s="132"/>
      <c r="H38" s="132"/>
      <c r="I38" s="86"/>
      <c r="J38" s="86"/>
      <c r="K38" s="86"/>
      <c r="L38" s="86"/>
      <c r="M38" s="86"/>
      <c r="N38" s="86"/>
      <c r="O38" s="86"/>
      <c r="P38" s="86"/>
      <c r="Q38" s="111"/>
      <c r="R38" s="552"/>
    </row>
    <row r="39" spans="1:18" ht="19.5" thickBot="1" x14ac:dyDescent="0.35">
      <c r="A39" s="194" t="s">
        <v>170</v>
      </c>
      <c r="B39" s="139"/>
      <c r="C39" s="140"/>
      <c r="D39" s="140"/>
      <c r="E39" s="141"/>
      <c r="F39" s="140"/>
      <c r="G39" s="132"/>
      <c r="H39" s="132"/>
      <c r="I39" s="86"/>
      <c r="J39" s="86"/>
      <c r="K39" s="86"/>
      <c r="L39" s="86"/>
      <c r="M39" s="86"/>
      <c r="N39" s="86"/>
      <c r="O39" s="86"/>
      <c r="P39" s="86"/>
      <c r="Q39" s="111"/>
      <c r="R39" s="552"/>
    </row>
    <row r="40" spans="1:18" ht="15.75" customHeight="1" x14ac:dyDescent="0.25">
      <c r="A40" s="181"/>
      <c r="B40" s="172"/>
      <c r="C40" s="162"/>
      <c r="D40" s="173" t="s">
        <v>846</v>
      </c>
      <c r="E40" s="174">
        <v>100</v>
      </c>
      <c r="F40" s="164" t="s">
        <v>287</v>
      </c>
      <c r="G40" s="132"/>
      <c r="H40" s="132"/>
      <c r="I40" s="86"/>
      <c r="J40" s="86"/>
      <c r="K40" s="86"/>
      <c r="L40" s="86"/>
      <c r="M40" s="86"/>
      <c r="N40" s="86"/>
      <c r="O40" s="86"/>
      <c r="P40" s="86"/>
      <c r="Q40" s="111"/>
      <c r="R40" s="552"/>
    </row>
    <row r="41" spans="1:18" ht="14.1" customHeight="1" x14ac:dyDescent="0.2">
      <c r="A41" s="131"/>
      <c r="B41" s="132"/>
      <c r="C41" s="129"/>
      <c r="D41" s="129" t="s">
        <v>605</v>
      </c>
      <c r="E41" s="582">
        <f>'Variable Management'!B168</f>
        <v>245.75784753363229</v>
      </c>
      <c r="F41" s="170" t="s">
        <v>271</v>
      </c>
      <c r="G41" s="132"/>
      <c r="H41" s="132"/>
      <c r="I41" s="86"/>
      <c r="J41" s="86"/>
      <c r="K41" s="86"/>
      <c r="L41" s="86"/>
      <c r="M41" s="86"/>
      <c r="N41" s="86"/>
      <c r="O41" s="86"/>
      <c r="P41" s="86"/>
      <c r="Q41" s="111"/>
      <c r="R41" s="552"/>
    </row>
    <row r="42" spans="1:18" ht="14.1" customHeight="1" x14ac:dyDescent="0.25">
      <c r="A42" s="131"/>
      <c r="B42" s="132"/>
      <c r="C42" s="129"/>
      <c r="D42" s="128" t="s">
        <v>363</v>
      </c>
      <c r="E42" s="135">
        <v>600</v>
      </c>
      <c r="F42" s="165" t="s">
        <v>271</v>
      </c>
      <c r="G42" s="134"/>
      <c r="H42" s="132"/>
      <c r="I42" s="86"/>
      <c r="J42" s="86"/>
      <c r="K42" s="86"/>
      <c r="L42" s="86"/>
      <c r="M42" s="86"/>
      <c r="N42" s="86"/>
      <c r="O42" s="86"/>
      <c r="P42" s="86"/>
      <c r="Q42" s="111"/>
      <c r="R42" s="552"/>
    </row>
    <row r="43" spans="1:18" ht="14.1" customHeight="1" x14ac:dyDescent="0.2">
      <c r="A43" s="131"/>
      <c r="B43" s="132"/>
      <c r="C43" s="129"/>
      <c r="D43" s="129" t="s">
        <v>296</v>
      </c>
      <c r="E43" s="581">
        <f>'Variable Management'!B172</f>
        <v>4.9200298953662189</v>
      </c>
      <c r="F43" s="170" t="s">
        <v>53</v>
      </c>
      <c r="G43" s="134"/>
      <c r="H43" s="132"/>
      <c r="I43" s="86"/>
      <c r="J43" s="86"/>
      <c r="K43" s="86"/>
      <c r="L43" s="86"/>
      <c r="M43" s="86"/>
      <c r="N43" s="86"/>
      <c r="O43" s="86"/>
      <c r="P43" s="86"/>
      <c r="Q43" s="111"/>
      <c r="R43" s="552"/>
    </row>
    <row r="44" spans="1:18" ht="14.1" customHeight="1" x14ac:dyDescent="0.2">
      <c r="A44" s="131"/>
      <c r="B44" s="132"/>
      <c r="C44" s="129"/>
      <c r="D44" s="128" t="s">
        <v>297</v>
      </c>
      <c r="E44" s="135">
        <v>2</v>
      </c>
      <c r="F44" s="165" t="s">
        <v>53</v>
      </c>
      <c r="G44" s="134"/>
      <c r="H44" s="132"/>
      <c r="I44" s="86"/>
      <c r="J44" s="86"/>
      <c r="K44" s="86"/>
      <c r="L44" s="86"/>
      <c r="M44" s="86"/>
      <c r="N44" s="86"/>
      <c r="O44" s="86"/>
      <c r="P44" s="86"/>
      <c r="Q44" s="111"/>
      <c r="R44" s="552"/>
    </row>
    <row r="45" spans="1:18" ht="14.1" customHeight="1" x14ac:dyDescent="0.3">
      <c r="A45" s="131"/>
      <c r="B45" s="132"/>
      <c r="C45" s="132"/>
      <c r="D45" s="129" t="s">
        <v>840</v>
      </c>
      <c r="E45" s="159">
        <f>Vripple2*1000</f>
        <v>64.959641255605376</v>
      </c>
      <c r="F45" s="170" t="s">
        <v>290</v>
      </c>
      <c r="G45" s="134"/>
      <c r="H45" s="132"/>
      <c r="I45" s="86"/>
      <c r="J45" s="86"/>
      <c r="K45" s="86"/>
      <c r="L45" s="86"/>
      <c r="M45" s="86"/>
      <c r="N45" s="86"/>
      <c r="O45" s="86"/>
      <c r="P45" s="86"/>
      <c r="Q45" s="111"/>
      <c r="R45" s="552"/>
    </row>
    <row r="46" spans="1:18" ht="14.1" customHeight="1" thickBot="1" x14ac:dyDescent="0.25">
      <c r="A46" s="166"/>
      <c r="B46" s="167"/>
      <c r="C46" s="167"/>
      <c r="D46" s="130" t="s">
        <v>841</v>
      </c>
      <c r="E46" s="171">
        <f>'Variable Management'!B163</f>
        <v>12</v>
      </c>
      <c r="F46" s="168" t="s">
        <v>176</v>
      </c>
      <c r="G46" s="136"/>
      <c r="H46" s="132"/>
      <c r="I46" s="86"/>
      <c r="J46" s="86"/>
      <c r="K46" s="86"/>
      <c r="L46" s="86"/>
      <c r="M46" s="86"/>
      <c r="N46" s="86"/>
      <c r="O46" s="86"/>
      <c r="P46" s="86"/>
      <c r="Q46" s="111"/>
      <c r="R46" s="552"/>
    </row>
    <row r="47" spans="1:18" ht="17.100000000000001" customHeight="1" x14ac:dyDescent="0.2">
      <c r="A47" s="196"/>
      <c r="B47" s="142"/>
      <c r="C47" s="142"/>
      <c r="D47" s="142"/>
      <c r="E47" s="142"/>
      <c r="F47" s="142"/>
      <c r="G47" s="132"/>
      <c r="H47" s="132"/>
      <c r="I47" s="86"/>
      <c r="J47" s="86"/>
      <c r="K47" s="86"/>
      <c r="L47" s="86"/>
      <c r="M47" s="288" t="s">
        <v>943</v>
      </c>
      <c r="N47" s="619" t="str">
        <f>VIN_nom&amp;"V"</f>
        <v>12V</v>
      </c>
      <c r="O47" s="86"/>
      <c r="P47" s="86"/>
      <c r="Q47" s="111"/>
      <c r="R47" s="552"/>
    </row>
    <row r="48" spans="1:18" ht="19.5" thickBot="1" x14ac:dyDescent="0.35">
      <c r="A48" s="194" t="s">
        <v>171</v>
      </c>
      <c r="B48" s="139"/>
      <c r="C48" s="140"/>
      <c r="D48" s="140"/>
      <c r="E48" s="132"/>
      <c r="F48" s="132"/>
      <c r="G48" s="132"/>
      <c r="H48" s="132"/>
      <c r="I48" s="86"/>
      <c r="J48" s="86"/>
      <c r="K48" s="86"/>
      <c r="L48" s="113"/>
      <c r="M48" s="117"/>
      <c r="N48" s="117"/>
      <c r="O48" s="86"/>
      <c r="P48" s="86"/>
      <c r="Q48" s="111"/>
      <c r="R48" s="552"/>
    </row>
    <row r="49" spans="1:18" ht="14.1" customHeight="1" x14ac:dyDescent="0.25">
      <c r="A49" s="181"/>
      <c r="B49" s="172"/>
      <c r="C49" s="161"/>
      <c r="D49" s="163" t="s">
        <v>847</v>
      </c>
      <c r="E49" s="174">
        <v>200</v>
      </c>
      <c r="F49" s="164" t="s">
        <v>287</v>
      </c>
      <c r="G49" s="132"/>
      <c r="H49" s="132"/>
      <c r="I49" s="86"/>
      <c r="J49" s="114"/>
      <c r="K49" s="86"/>
      <c r="L49" s="86"/>
      <c r="M49" s="86"/>
      <c r="N49" s="86"/>
      <c r="O49" s="86"/>
      <c r="P49" s="86"/>
      <c r="Q49" s="111"/>
      <c r="R49" s="552"/>
    </row>
    <row r="50" spans="1:18" ht="14.1" customHeight="1" x14ac:dyDescent="0.2">
      <c r="A50" s="143"/>
      <c r="B50" s="140"/>
      <c r="C50" s="132"/>
      <c r="D50" s="129" t="s">
        <v>848</v>
      </c>
      <c r="E50" s="581">
        <f>'Variable Management'!B188</f>
        <v>60</v>
      </c>
      <c r="F50" s="170" t="s">
        <v>271</v>
      </c>
      <c r="G50" s="132"/>
      <c r="H50" s="132"/>
      <c r="I50" s="86"/>
      <c r="J50" s="114"/>
      <c r="K50" s="86"/>
      <c r="L50" s="86"/>
      <c r="M50" s="86"/>
      <c r="N50" s="86"/>
      <c r="O50" s="86"/>
      <c r="P50" s="86"/>
      <c r="Q50" s="111"/>
      <c r="R50" s="552"/>
    </row>
    <row r="51" spans="1:18" ht="14.1" customHeight="1" x14ac:dyDescent="0.25">
      <c r="A51" s="131"/>
      <c r="B51" s="132"/>
      <c r="C51" s="140"/>
      <c r="D51" s="160" t="s">
        <v>364</v>
      </c>
      <c r="E51" s="133">
        <v>100</v>
      </c>
      <c r="F51" s="165" t="s">
        <v>271</v>
      </c>
      <c r="G51" s="132"/>
      <c r="H51" s="132"/>
      <c r="I51" s="86"/>
      <c r="J51" s="114"/>
      <c r="K51" s="86"/>
      <c r="L51" s="86"/>
      <c r="M51" s="86"/>
      <c r="N51" s="86"/>
      <c r="O51" s="86"/>
      <c r="P51" s="86"/>
      <c r="Q51" s="111"/>
      <c r="R51" s="552"/>
    </row>
    <row r="52" spans="1:18" ht="14.1" customHeight="1" x14ac:dyDescent="0.2">
      <c r="A52" s="131"/>
      <c r="B52" s="132"/>
      <c r="C52" s="140"/>
      <c r="D52" s="129" t="s">
        <v>296</v>
      </c>
      <c r="E52" s="581">
        <f>'Variable Management'!B193</f>
        <v>5.1864831406604157</v>
      </c>
      <c r="F52" s="170" t="s">
        <v>53</v>
      </c>
      <c r="G52" s="132"/>
      <c r="H52" s="132"/>
      <c r="I52" s="86"/>
      <c r="J52" s="115"/>
      <c r="K52" s="86"/>
      <c r="L52" s="86"/>
      <c r="M52" s="86"/>
      <c r="N52" s="86"/>
      <c r="O52" s="86"/>
      <c r="P52" s="86"/>
      <c r="Q52" s="111" t="s">
        <v>214</v>
      </c>
      <c r="R52" s="552"/>
    </row>
    <row r="53" spans="1:18" ht="14.1" customHeight="1" x14ac:dyDescent="0.2">
      <c r="A53" s="131"/>
      <c r="B53" s="132"/>
      <c r="C53" s="140"/>
      <c r="D53" s="160" t="s">
        <v>298</v>
      </c>
      <c r="E53" s="133">
        <v>2</v>
      </c>
      <c r="F53" s="165" t="s">
        <v>53</v>
      </c>
      <c r="G53" s="132"/>
      <c r="H53" s="132"/>
      <c r="I53" s="86"/>
      <c r="J53" s="115"/>
      <c r="K53" s="86"/>
      <c r="L53" s="86"/>
      <c r="M53" s="86"/>
      <c r="N53" s="86"/>
      <c r="O53" s="86"/>
      <c r="P53" s="86"/>
      <c r="Q53" s="111"/>
      <c r="R53" s="552"/>
    </row>
    <row r="54" spans="1:18" ht="14.1" customHeight="1" x14ac:dyDescent="0.3">
      <c r="A54" s="131"/>
      <c r="B54" s="132"/>
      <c r="C54" s="140"/>
      <c r="D54" s="129" t="s">
        <v>839</v>
      </c>
      <c r="E54" s="159">
        <f>Vinripple2*1000</f>
        <v>150.8494206306485</v>
      </c>
      <c r="F54" s="170" t="s">
        <v>290</v>
      </c>
      <c r="G54" s="132"/>
      <c r="H54" s="132"/>
      <c r="I54" s="86"/>
      <c r="J54" s="115"/>
      <c r="K54" s="86"/>
      <c r="L54" s="86"/>
      <c r="M54" s="86"/>
      <c r="N54" s="86"/>
      <c r="O54" s="86"/>
      <c r="P54" s="86"/>
      <c r="Q54" s="111"/>
      <c r="R54" s="552"/>
    </row>
    <row r="55" spans="1:18" ht="14.1" customHeight="1" thickBot="1" x14ac:dyDescent="0.25">
      <c r="A55" s="166"/>
      <c r="B55" s="167"/>
      <c r="C55" s="167"/>
      <c r="D55" s="130" t="s">
        <v>842</v>
      </c>
      <c r="E55" s="171">
        <f>'Variable Management'!B181</f>
        <v>5.6652944159188321</v>
      </c>
      <c r="F55" s="168" t="s">
        <v>176</v>
      </c>
      <c r="G55" s="132"/>
      <c r="H55" s="132"/>
      <c r="I55" s="86"/>
      <c r="J55" s="86"/>
      <c r="K55" s="86"/>
      <c r="L55" s="86"/>
      <c r="M55" s="86"/>
      <c r="N55" s="86"/>
      <c r="O55" s="86"/>
      <c r="P55" s="86"/>
      <c r="Q55" s="111"/>
      <c r="R55" s="552"/>
    </row>
    <row r="56" spans="1:18" ht="14.1" customHeight="1" x14ac:dyDescent="0.2">
      <c r="A56" s="131"/>
      <c r="B56" s="132"/>
      <c r="C56" s="132"/>
      <c r="D56" s="129"/>
      <c r="E56" s="132"/>
      <c r="F56" s="132"/>
      <c r="G56" s="132"/>
      <c r="H56" s="132"/>
      <c r="I56" s="86"/>
      <c r="J56" s="86"/>
      <c r="K56" s="86"/>
      <c r="L56" s="86"/>
      <c r="M56" s="86"/>
      <c r="N56" s="86"/>
      <c r="O56" s="86"/>
      <c r="P56" s="86"/>
      <c r="Q56" s="111"/>
      <c r="R56" s="552"/>
    </row>
    <row r="57" spans="1:18" ht="19.5" thickBot="1" x14ac:dyDescent="0.35">
      <c r="A57" s="194" t="s">
        <v>418</v>
      </c>
      <c r="B57" s="139"/>
      <c r="C57" s="132"/>
      <c r="D57" s="129"/>
      <c r="E57" s="132"/>
      <c r="F57" s="132"/>
      <c r="G57" s="132"/>
      <c r="H57" s="144"/>
      <c r="I57" s="117"/>
      <c r="J57" s="117"/>
      <c r="K57" s="117"/>
      <c r="L57" s="117"/>
      <c r="M57" s="117"/>
      <c r="N57" s="86"/>
      <c r="O57" s="86"/>
      <c r="P57" s="86"/>
      <c r="Q57" s="111"/>
      <c r="R57" s="552"/>
    </row>
    <row r="58" spans="1:18" ht="13.7" customHeight="1" x14ac:dyDescent="0.2">
      <c r="A58" s="282"/>
      <c r="B58" s="283"/>
      <c r="C58" s="283"/>
      <c r="D58" s="292" t="s">
        <v>366</v>
      </c>
      <c r="E58" s="286">
        <v>15</v>
      </c>
      <c r="F58" s="287" t="s">
        <v>180</v>
      </c>
      <c r="G58" s="132"/>
      <c r="H58" s="142"/>
      <c r="I58" s="117"/>
      <c r="J58" s="117"/>
      <c r="K58" s="117"/>
      <c r="L58" s="117"/>
      <c r="M58" s="117"/>
      <c r="N58" s="86"/>
      <c r="O58" s="86"/>
      <c r="P58" s="86"/>
      <c r="Q58" s="111"/>
      <c r="R58" s="552"/>
    </row>
    <row r="59" spans="1:18" ht="13.7" customHeight="1" x14ac:dyDescent="0.2">
      <c r="A59" s="272"/>
      <c r="B59" s="271"/>
      <c r="C59" s="271"/>
      <c r="D59" s="273" t="s">
        <v>365</v>
      </c>
      <c r="E59" s="293">
        <f>IF(Tss&gt;1.28/1000,Css_u*1000000000,"N/A")</f>
        <v>100</v>
      </c>
      <c r="F59" s="275" t="s">
        <v>172</v>
      </c>
      <c r="G59" s="132"/>
      <c r="H59" s="142"/>
      <c r="I59" s="117"/>
      <c r="J59" s="117"/>
      <c r="K59" s="117"/>
      <c r="L59" s="117"/>
      <c r="M59" s="117"/>
      <c r="N59" s="86"/>
      <c r="O59" s="86"/>
      <c r="P59" s="86"/>
      <c r="Q59" s="111"/>
      <c r="R59" s="552"/>
    </row>
    <row r="60" spans="1:18" ht="13.7" customHeight="1" x14ac:dyDescent="0.2">
      <c r="A60" s="272"/>
      <c r="B60" s="271"/>
      <c r="C60" s="271"/>
      <c r="D60" s="294" t="s">
        <v>938</v>
      </c>
      <c r="E60" s="297">
        <v>1</v>
      </c>
      <c r="F60" s="290" t="str">
        <f>IF(DITHER=1, "kHz", "")</f>
        <v/>
      </c>
      <c r="G60" s="132"/>
      <c r="H60" s="132"/>
      <c r="I60" s="86"/>
      <c r="J60" s="84"/>
      <c r="K60" s="127"/>
      <c r="L60" s="86"/>
      <c r="M60" s="117"/>
      <c r="N60" s="86"/>
      <c r="O60" s="86"/>
      <c r="P60" s="86"/>
      <c r="Q60" s="111"/>
      <c r="R60" s="552"/>
    </row>
    <row r="61" spans="1:18" ht="13.7" customHeight="1" x14ac:dyDescent="0.2">
      <c r="A61" s="272"/>
      <c r="B61" s="271"/>
      <c r="C61" s="271"/>
      <c r="D61" s="273" t="str">
        <f>IF(DITHER=1, "DITH Capacitance, Cd", "*Short DITH pin to GND")</f>
        <v>*Short DITH pin to GND</v>
      </c>
      <c r="E61" s="273" t="str">
        <f>IF(DITHER=1,IF(E60&gt;0,'Standard Value Calculator'!O19*1000000000,"N/A"),"")</f>
        <v/>
      </c>
      <c r="F61" s="275" t="str">
        <f>IF(DITHER=1, "nF", "")</f>
        <v/>
      </c>
      <c r="G61" s="132"/>
      <c r="H61" s="132"/>
      <c r="I61" s="86"/>
      <c r="J61" s="84"/>
      <c r="K61" s="127"/>
      <c r="L61" s="86"/>
      <c r="M61" s="117"/>
      <c r="N61" s="86"/>
      <c r="O61" s="86"/>
      <c r="P61" s="86"/>
      <c r="Q61" s="111"/>
      <c r="R61" s="552"/>
    </row>
    <row r="62" spans="1:18" ht="13.7" customHeight="1" x14ac:dyDescent="0.2">
      <c r="A62" s="272"/>
      <c r="B62" s="271"/>
      <c r="C62" s="295"/>
      <c r="D62" s="296" t="s">
        <v>384</v>
      </c>
      <c r="E62" s="297">
        <v>6</v>
      </c>
      <c r="F62" s="290" t="s">
        <v>0</v>
      </c>
      <c r="G62" s="132"/>
      <c r="H62" s="132"/>
      <c r="I62" s="86"/>
      <c r="J62" s="84"/>
      <c r="K62" s="127"/>
      <c r="L62" s="86"/>
      <c r="M62" s="117"/>
      <c r="N62" s="86"/>
      <c r="O62" s="86"/>
      <c r="P62" s="86"/>
      <c r="Q62" s="111"/>
      <c r="R62" s="552"/>
    </row>
    <row r="63" spans="1:18" ht="13.7" customHeight="1" x14ac:dyDescent="0.2">
      <c r="A63" s="272"/>
      <c r="B63" s="271"/>
      <c r="C63" s="271"/>
      <c r="D63" s="273" t="s">
        <v>346</v>
      </c>
      <c r="E63" s="299">
        <f>'Variable Management'!B216</f>
        <v>5.2614083333333337</v>
      </c>
      <c r="F63" s="275" t="s">
        <v>0</v>
      </c>
      <c r="G63" s="132"/>
      <c r="H63" s="132"/>
      <c r="I63" s="86"/>
      <c r="J63" s="84"/>
      <c r="K63" s="127"/>
      <c r="L63" s="86"/>
      <c r="M63" s="117"/>
      <c r="N63" s="86"/>
      <c r="O63" s="86"/>
      <c r="P63" s="86"/>
      <c r="Q63" s="111"/>
      <c r="R63" s="552"/>
    </row>
    <row r="64" spans="1:18" ht="13.7" customHeight="1" x14ac:dyDescent="0.2">
      <c r="A64" s="272"/>
      <c r="B64" s="271"/>
      <c r="C64" s="295"/>
      <c r="D64" s="296" t="s">
        <v>383</v>
      </c>
      <c r="E64" s="297">
        <v>249</v>
      </c>
      <c r="F64" s="275" t="s">
        <v>54</v>
      </c>
      <c r="G64" s="132"/>
      <c r="H64" s="132"/>
      <c r="I64" s="86"/>
      <c r="J64" s="84"/>
      <c r="K64" s="127"/>
      <c r="L64" s="86"/>
      <c r="M64" s="117"/>
      <c r="N64" s="86"/>
      <c r="O64" s="86"/>
      <c r="P64" s="86"/>
      <c r="Q64" s="111"/>
      <c r="R64" s="552"/>
    </row>
    <row r="65" spans="1:35" ht="15" customHeight="1" thickBot="1" x14ac:dyDescent="0.25">
      <c r="A65" s="300"/>
      <c r="B65" s="301"/>
      <c r="C65" s="301"/>
      <c r="D65" s="298" t="s">
        <v>382</v>
      </c>
      <c r="E65" s="298">
        <f>'Variable Management'!E213</f>
        <v>57.6</v>
      </c>
      <c r="F65" s="302" t="s">
        <v>54</v>
      </c>
      <c r="G65" s="132"/>
      <c r="H65" s="132"/>
      <c r="I65" s="86"/>
      <c r="J65" s="84"/>
      <c r="K65" s="127"/>
      <c r="L65" s="86"/>
      <c r="M65" s="117"/>
      <c r="N65" s="86"/>
      <c r="O65" s="86"/>
      <c r="P65" s="86"/>
      <c r="Q65" s="111"/>
      <c r="R65" s="552"/>
    </row>
    <row r="66" spans="1:35" ht="14.1" customHeight="1" x14ac:dyDescent="0.2">
      <c r="A66" s="131"/>
      <c r="B66" s="132"/>
      <c r="C66" s="132"/>
      <c r="D66" s="129"/>
      <c r="E66" s="145"/>
      <c r="F66" s="132"/>
      <c r="G66" s="132"/>
      <c r="H66" s="132"/>
      <c r="I66" s="86"/>
      <c r="J66" s="84"/>
      <c r="K66" s="127"/>
      <c r="L66" s="86"/>
      <c r="M66" s="117"/>
      <c r="N66" s="86"/>
      <c r="O66" s="86"/>
      <c r="P66" s="86"/>
      <c r="Q66" s="111"/>
      <c r="R66" s="552"/>
    </row>
    <row r="67" spans="1:35" ht="19.5" customHeight="1" thickBot="1" x14ac:dyDescent="0.25">
      <c r="A67" s="194" t="s">
        <v>292</v>
      </c>
      <c r="B67" s="147"/>
      <c r="C67" s="140"/>
      <c r="D67" s="618"/>
      <c r="E67" s="141"/>
      <c r="F67" s="140"/>
      <c r="G67" s="132"/>
      <c r="H67" s="132"/>
      <c r="I67" s="86"/>
      <c r="J67" s="86"/>
      <c r="K67" s="86"/>
      <c r="L67" s="86"/>
      <c r="M67" s="86"/>
      <c r="N67" s="86"/>
      <c r="O67" s="86"/>
      <c r="P67" s="86"/>
      <c r="Q67" s="111"/>
      <c r="R67" s="551"/>
      <c r="S67" s="54"/>
      <c r="T67" s="54"/>
      <c r="W67" s="54"/>
      <c r="X67" s="54"/>
      <c r="Y67" s="54"/>
      <c r="AB67" s="54"/>
      <c r="AC67" s="54"/>
      <c r="AD67" s="54"/>
      <c r="AG67" s="54"/>
      <c r="AH67" s="54"/>
      <c r="AI67" s="54"/>
    </row>
    <row r="68" spans="1:35" ht="15" customHeight="1" x14ac:dyDescent="0.2">
      <c r="A68" s="282"/>
      <c r="B68" s="283"/>
      <c r="C68" s="284"/>
      <c r="D68" s="284" t="s">
        <v>386</v>
      </c>
      <c r="E68" s="395">
        <f>Fp_dominant</f>
        <v>708.60177529641101</v>
      </c>
      <c r="F68" s="303" t="s">
        <v>10</v>
      </c>
      <c r="G68" s="132"/>
      <c r="H68" s="132"/>
      <c r="I68" s="86"/>
      <c r="J68" s="86"/>
      <c r="K68" s="86"/>
      <c r="L68" s="86"/>
      <c r="M68" s="86"/>
      <c r="N68" s="86"/>
      <c r="O68" s="86"/>
      <c r="P68" s="86"/>
      <c r="Q68" s="111"/>
      <c r="R68" s="551"/>
      <c r="S68" s="54"/>
      <c r="T68" s="54"/>
      <c r="W68" s="54"/>
      <c r="X68" s="54"/>
      <c r="Y68" s="54"/>
      <c r="AB68" s="54"/>
      <c r="AC68" s="54"/>
      <c r="AD68" s="54"/>
      <c r="AG68" s="54"/>
      <c r="AH68" s="54"/>
      <c r="AI68" s="54"/>
    </row>
    <row r="69" spans="1:35" ht="15" customHeight="1" x14ac:dyDescent="0.2">
      <c r="A69" s="272"/>
      <c r="B69" s="271"/>
      <c r="C69" s="273"/>
      <c r="D69" s="273" t="s">
        <v>385</v>
      </c>
      <c r="E69" s="276">
        <f>Fesr/1000</f>
        <v>132.62911939479699</v>
      </c>
      <c r="F69" s="275" t="s">
        <v>3</v>
      </c>
      <c r="G69" s="132"/>
      <c r="H69" s="132"/>
      <c r="I69" s="86"/>
      <c r="J69" s="86"/>
      <c r="K69" s="86"/>
      <c r="L69" s="86"/>
      <c r="M69" s="86"/>
      <c r="N69" s="86"/>
      <c r="O69" s="86"/>
      <c r="P69" s="86"/>
      <c r="Q69" s="111"/>
      <c r="R69" s="551"/>
      <c r="S69" s="54"/>
      <c r="T69" s="54"/>
      <c r="W69" s="54"/>
      <c r="X69" s="54"/>
      <c r="Y69" s="54"/>
      <c r="AB69" s="54"/>
      <c r="AC69" s="54"/>
      <c r="AD69" s="54"/>
      <c r="AG69" s="54"/>
      <c r="AH69" s="54"/>
      <c r="AI69" s="54"/>
    </row>
    <row r="70" spans="1:35" ht="15" customHeight="1" x14ac:dyDescent="0.2">
      <c r="A70" s="272"/>
      <c r="B70" s="271"/>
      <c r="C70" s="273"/>
      <c r="D70" s="273" t="s">
        <v>468</v>
      </c>
      <c r="E70" s="276">
        <f>Frhp/1000</f>
        <v>33.61001246361581</v>
      </c>
      <c r="F70" s="275" t="s">
        <v>3</v>
      </c>
      <c r="G70" s="132"/>
      <c r="H70" s="132"/>
      <c r="I70" s="86"/>
      <c r="J70" s="86"/>
      <c r="K70" s="86"/>
      <c r="L70" s="86"/>
      <c r="M70" s="86"/>
      <c r="N70" s="86"/>
      <c r="O70" s="86"/>
      <c r="P70" s="86"/>
      <c r="Q70" s="111"/>
      <c r="R70" s="551"/>
      <c r="S70" s="54"/>
      <c r="T70" s="54"/>
      <c r="W70" s="54"/>
      <c r="X70" s="54"/>
      <c r="Y70" s="54"/>
      <c r="AB70" s="54"/>
      <c r="AC70" s="54"/>
      <c r="AD70" s="54"/>
      <c r="AG70" s="54"/>
      <c r="AH70" s="54"/>
      <c r="AI70" s="54"/>
    </row>
    <row r="71" spans="1:35" ht="15" customHeight="1" x14ac:dyDescent="0.2">
      <c r="A71" s="272"/>
      <c r="B71" s="271"/>
      <c r="C71" s="273"/>
      <c r="D71" s="296" t="s">
        <v>304</v>
      </c>
      <c r="E71" s="304">
        <v>7</v>
      </c>
      <c r="F71" s="305" t="str">
        <f>"     kHz "</f>
        <v xml:space="preserve">     kHz </v>
      </c>
      <c r="G71" s="132"/>
      <c r="H71" s="132"/>
      <c r="I71" s="86"/>
      <c r="J71" s="86"/>
      <c r="K71" s="86"/>
      <c r="L71" s="86"/>
      <c r="M71" s="86"/>
      <c r="N71" s="86"/>
      <c r="O71" s="86"/>
      <c r="P71" s="86"/>
      <c r="Q71" s="111"/>
      <c r="R71" s="551"/>
      <c r="S71" s="54"/>
      <c r="T71" s="54"/>
      <c r="W71" s="54"/>
      <c r="X71" s="54"/>
      <c r="Y71" s="54"/>
      <c r="AB71" s="54"/>
      <c r="AC71" s="54"/>
      <c r="AD71" s="54"/>
      <c r="AG71" s="54"/>
      <c r="AH71" s="54"/>
      <c r="AI71" s="54"/>
    </row>
    <row r="72" spans="1:35" ht="15" customHeight="1" x14ac:dyDescent="0.2">
      <c r="A72" s="272"/>
      <c r="B72" s="271"/>
      <c r="C72" s="273"/>
      <c r="D72" s="273" t="s">
        <v>524</v>
      </c>
      <c r="E72" s="276">
        <f>Fp1_u</f>
        <v>0.24106924251452713</v>
      </c>
      <c r="F72" s="275" t="s">
        <v>10</v>
      </c>
      <c r="G72" s="132"/>
      <c r="H72" s="132"/>
      <c r="I72" s="86"/>
      <c r="J72" s="86"/>
      <c r="K72" s="86"/>
      <c r="L72" s="86"/>
      <c r="M72" s="86"/>
      <c r="N72" s="86"/>
      <c r="O72" s="86"/>
      <c r="P72" s="86"/>
      <c r="Q72" s="111"/>
      <c r="R72" s="551"/>
      <c r="S72" s="54"/>
      <c r="T72" s="54"/>
      <c r="W72" s="54"/>
      <c r="X72" s="54"/>
      <c r="Y72" s="54"/>
      <c r="AB72" s="54"/>
      <c r="AC72" s="54"/>
      <c r="AD72" s="54"/>
      <c r="AG72" s="54"/>
      <c r="AH72" s="54"/>
      <c r="AI72" s="54"/>
    </row>
    <row r="73" spans="1:35" ht="15" customHeight="1" x14ac:dyDescent="0.2">
      <c r="A73" s="272"/>
      <c r="B73" s="271"/>
      <c r="C73" s="273"/>
      <c r="D73" s="296" t="s">
        <v>367</v>
      </c>
      <c r="E73" s="306">
        <v>280</v>
      </c>
      <c r="F73" s="290" t="s">
        <v>54</v>
      </c>
      <c r="G73" s="132"/>
      <c r="H73" s="132"/>
      <c r="I73" s="86"/>
      <c r="J73" s="86"/>
      <c r="K73" s="86"/>
      <c r="L73" s="86"/>
      <c r="M73" s="86"/>
      <c r="N73" s="86"/>
      <c r="O73" s="86"/>
      <c r="P73" s="86"/>
      <c r="Q73" s="111"/>
      <c r="R73" s="551"/>
      <c r="S73" s="54"/>
      <c r="T73" s="54"/>
      <c r="W73" s="54"/>
      <c r="X73" s="54"/>
      <c r="Y73" s="54"/>
      <c r="AB73" s="54"/>
      <c r="AC73" s="54"/>
      <c r="AD73" s="54"/>
      <c r="AG73" s="54"/>
      <c r="AH73" s="54"/>
      <c r="AI73" s="54"/>
    </row>
    <row r="74" spans="1:35" ht="17.25" customHeight="1" thickBot="1" x14ac:dyDescent="0.25">
      <c r="A74" s="277"/>
      <c r="B74" s="278"/>
      <c r="C74" s="279"/>
      <c r="D74" s="279" t="s">
        <v>368</v>
      </c>
      <c r="E74" s="279">
        <f>IF(Vout=Vref,"OPEN",Rfb2_u/1000)</f>
        <v>20</v>
      </c>
      <c r="F74" s="281" t="str">
        <f>IF(Vout=Vref,"","kΩ")</f>
        <v>kΩ</v>
      </c>
      <c r="G74" s="132"/>
      <c r="H74" s="132"/>
      <c r="I74" s="86"/>
      <c r="J74" s="86"/>
      <c r="K74" s="86"/>
      <c r="L74" s="86"/>
      <c r="M74" s="86"/>
      <c r="N74" s="86"/>
      <c r="O74" s="86"/>
      <c r="P74" s="86"/>
      <c r="Q74" s="111"/>
      <c r="R74" s="551"/>
      <c r="S74" s="54"/>
      <c r="T74" s="54"/>
      <c r="W74" s="54"/>
      <c r="X74" s="54"/>
      <c r="Y74" s="54"/>
      <c r="AB74" s="54"/>
      <c r="AC74" s="54"/>
      <c r="AD74" s="54"/>
      <c r="AG74" s="54"/>
      <c r="AH74" s="54"/>
      <c r="AI74" s="54"/>
    </row>
    <row r="75" spans="1:35" ht="13.5" customHeight="1" x14ac:dyDescent="0.2">
      <c r="A75" s="197"/>
      <c r="B75" s="612"/>
      <c r="C75" s="153"/>
      <c r="D75" s="142"/>
      <c r="E75" s="142"/>
      <c r="F75" s="142"/>
      <c r="G75" s="152"/>
      <c r="H75" s="151"/>
      <c r="I75" s="86"/>
      <c r="J75" s="86"/>
      <c r="K75" s="86"/>
      <c r="L75" s="86"/>
      <c r="M75" s="86"/>
      <c r="N75" s="86"/>
      <c r="O75" s="86"/>
      <c r="P75" s="86"/>
      <c r="Q75" s="111"/>
      <c r="R75" s="551"/>
      <c r="S75" s="54"/>
      <c r="T75" s="54"/>
      <c r="W75" s="54"/>
      <c r="X75" s="54"/>
      <c r="Y75" s="54"/>
      <c r="AB75" s="54"/>
      <c r="AC75" s="54"/>
      <c r="AD75" s="54"/>
      <c r="AG75" s="54"/>
      <c r="AH75" s="54"/>
      <c r="AI75" s="54"/>
    </row>
    <row r="76" spans="1:35" ht="15.75" customHeight="1" x14ac:dyDescent="0.25">
      <c r="A76" s="518" t="s">
        <v>284</v>
      </c>
      <c r="B76" s="154"/>
      <c r="C76" s="129"/>
      <c r="D76" s="148"/>
      <c r="E76" s="149"/>
      <c r="F76" s="150"/>
      <c r="G76" s="155"/>
      <c r="H76" s="132"/>
      <c r="I76" s="86"/>
      <c r="J76" s="86"/>
      <c r="K76" s="86"/>
      <c r="L76" s="86"/>
      <c r="M76" s="86"/>
      <c r="N76" s="86"/>
      <c r="O76" s="86"/>
      <c r="P76" s="86"/>
      <c r="Q76" s="111"/>
      <c r="R76" s="551"/>
      <c r="S76" s="200"/>
      <c r="T76" s="200"/>
      <c r="U76" s="201"/>
      <c r="V76" s="201"/>
      <c r="W76" s="200"/>
      <c r="X76" s="200"/>
      <c r="Y76" s="200"/>
      <c r="Z76" s="201"/>
      <c r="AA76" s="201"/>
      <c r="AB76" s="200"/>
      <c r="AC76" s="200"/>
      <c r="AD76" s="200"/>
      <c r="AE76" s="201"/>
      <c r="AF76" s="201"/>
      <c r="AG76" s="54"/>
      <c r="AH76" s="54"/>
      <c r="AI76" s="54"/>
    </row>
    <row r="77" spans="1:35" s="213" customFormat="1" ht="13.5" customHeight="1" thickBot="1" x14ac:dyDescent="0.25">
      <c r="A77" s="218"/>
      <c r="B77" s="219" t="s">
        <v>293</v>
      </c>
      <c r="C77" s="221" t="s">
        <v>283</v>
      </c>
      <c r="D77" s="220" t="str">
        <f>"    Selected"</f>
        <v xml:space="preserve">    Selected</v>
      </c>
      <c r="E77" s="618"/>
      <c r="F77" s="641" t="s">
        <v>285</v>
      </c>
      <c r="G77" s="641"/>
      <c r="H77" s="641"/>
      <c r="I77" s="208"/>
      <c r="J77" s="208"/>
      <c r="K77" s="208"/>
      <c r="L77" s="208"/>
      <c r="M77" s="208"/>
      <c r="N77" s="208"/>
      <c r="O77" s="208"/>
      <c r="P77" s="208"/>
      <c r="Q77" s="209"/>
      <c r="R77" s="553"/>
      <c r="S77" s="210"/>
      <c r="T77" s="210"/>
      <c r="U77" s="211"/>
      <c r="V77" s="211"/>
      <c r="W77" s="210"/>
      <c r="X77" s="210"/>
      <c r="Y77" s="210"/>
      <c r="Z77" s="211"/>
      <c r="AA77" s="211"/>
      <c r="AB77" s="210"/>
      <c r="AC77" s="210"/>
      <c r="AD77" s="210"/>
      <c r="AE77" s="211"/>
      <c r="AF77" s="211"/>
      <c r="AG77" s="212"/>
      <c r="AH77" s="212"/>
      <c r="AI77" s="212"/>
    </row>
    <row r="78" spans="1:35" ht="15.75" x14ac:dyDescent="0.3">
      <c r="A78" s="179" t="s">
        <v>467</v>
      </c>
      <c r="B78" s="192">
        <f>Rcea1/1000</f>
        <v>6.1256598746290569</v>
      </c>
      <c r="C78" s="175">
        <f>'Standard Value Calculator'!O27</f>
        <v>6.19</v>
      </c>
      <c r="D78" s="176">
        <v>6.19</v>
      </c>
      <c r="E78" s="177" t="s">
        <v>54</v>
      </c>
      <c r="F78" s="571">
        <f>Fp1_u</f>
        <v>0.24106924251452713</v>
      </c>
      <c r="G78" s="468" t="s">
        <v>629</v>
      </c>
      <c r="H78" s="142"/>
      <c r="I78" s="129" t="s">
        <v>799</v>
      </c>
      <c r="J78" s="545" t="str">
        <f>ROUND('Variable Management'!B269,2)&amp;"V"</f>
        <v>1.02V</v>
      </c>
      <c r="K78" s="132"/>
      <c r="L78" s="86"/>
      <c r="M78" s="86"/>
      <c r="N78" s="86"/>
      <c r="O78" s="86"/>
      <c r="P78" s="86"/>
      <c r="Q78" s="111"/>
      <c r="R78" s="551"/>
      <c r="S78" s="200"/>
      <c r="T78" s="200"/>
      <c r="U78" s="201"/>
      <c r="V78" s="201"/>
      <c r="W78" s="200"/>
      <c r="X78" s="200"/>
      <c r="Y78" s="200"/>
      <c r="Z78" s="201"/>
      <c r="AA78" s="201"/>
      <c r="AB78" s="200"/>
      <c r="AC78" s="200"/>
      <c r="AD78" s="200"/>
      <c r="AE78" s="201"/>
      <c r="AF78" s="201"/>
      <c r="AG78" s="54"/>
      <c r="AH78" s="54"/>
      <c r="AI78" s="54"/>
    </row>
    <row r="79" spans="1:35" ht="15.75" x14ac:dyDescent="0.3">
      <c r="A79" s="180" t="s">
        <v>288</v>
      </c>
      <c r="B79" s="529">
        <f>Cc1ea*1000000000</f>
        <v>24.444083464419048</v>
      </c>
      <c r="C79" s="151">
        <f>'Standard Value Calculator'!O28</f>
        <v>22</v>
      </c>
      <c r="D79" s="156">
        <v>33</v>
      </c>
      <c r="E79" s="178" t="s">
        <v>172</v>
      </c>
      <c r="F79" s="469">
        <f>Fz1_u/1000</f>
        <v>0.77914007575148758</v>
      </c>
      <c r="G79" s="470" t="s">
        <v>722</v>
      </c>
      <c r="H79" s="142"/>
      <c r="I79" s="129" t="s">
        <v>798</v>
      </c>
      <c r="J79" s="545" t="str">
        <f>ROUND('Variable Management'!B270,2)&amp;"V"</f>
        <v>2.28V</v>
      </c>
      <c r="K79" s="132"/>
      <c r="L79" s="86"/>
      <c r="M79" s="86"/>
      <c r="N79" s="86"/>
      <c r="O79" s="86"/>
      <c r="P79" s="86"/>
      <c r="Q79" s="111"/>
      <c r="R79" s="551"/>
      <c r="S79" s="200"/>
      <c r="T79" s="200"/>
      <c r="U79" s="201"/>
      <c r="V79" s="201"/>
      <c r="W79" s="200"/>
      <c r="X79" s="200"/>
      <c r="Y79" s="200"/>
      <c r="Z79" s="201"/>
      <c r="AA79" s="201"/>
      <c r="AB79" s="200"/>
      <c r="AC79" s="200"/>
      <c r="AD79" s="200"/>
      <c r="AE79" s="201"/>
      <c r="AF79" s="201"/>
      <c r="AG79" s="54"/>
      <c r="AH79" s="54"/>
      <c r="AI79" s="54"/>
    </row>
    <row r="80" spans="1:35" ht="16.5" thickBot="1" x14ac:dyDescent="0.35">
      <c r="A80" s="396" t="s">
        <v>289</v>
      </c>
      <c r="B80" s="193">
        <f>IF(Cc2ea*1000000000000&lt;0, 0, Cc2ea*1000000000000)</f>
        <v>504.97254882817833</v>
      </c>
      <c r="C80" s="189">
        <f>'Standard Value Calculator'!O29</f>
        <v>470.00000000000006</v>
      </c>
      <c r="D80" s="190">
        <v>1000</v>
      </c>
      <c r="E80" s="191" t="s">
        <v>32</v>
      </c>
      <c r="F80" s="476">
        <f>Fp2_u/1000</f>
        <v>25.078005445023155</v>
      </c>
      <c r="G80" s="471" t="s">
        <v>723</v>
      </c>
      <c r="H80" s="142"/>
      <c r="I80" s="86"/>
      <c r="J80" s="86"/>
      <c r="K80" s="86"/>
      <c r="L80" s="86"/>
      <c r="M80" s="86"/>
      <c r="N80" s="86"/>
      <c r="O80" s="86"/>
      <c r="P80" s="86"/>
      <c r="Q80" s="111"/>
      <c r="R80" s="551"/>
      <c r="S80" s="200"/>
      <c r="T80" s="200"/>
      <c r="U80" s="201"/>
      <c r="V80" s="201"/>
      <c r="W80" s="200"/>
      <c r="X80" s="200"/>
      <c r="Y80" s="200"/>
      <c r="Z80" s="201"/>
      <c r="AA80" s="201"/>
      <c r="AB80" s="200"/>
      <c r="AC80" s="200"/>
      <c r="AD80" s="200"/>
      <c r="AE80" s="201"/>
      <c r="AF80" s="201"/>
      <c r="AG80" s="54"/>
      <c r="AH80" s="54"/>
      <c r="AI80" s="54"/>
    </row>
    <row r="81" spans="1:35" ht="13.5" thickBot="1" x14ac:dyDescent="0.25">
      <c r="A81" s="131"/>
      <c r="B81" s="129"/>
      <c r="C81" s="129"/>
      <c r="D81" s="640"/>
      <c r="E81" s="132"/>
      <c r="F81" s="132"/>
      <c r="G81" s="132"/>
      <c r="H81" s="132"/>
      <c r="I81" s="86"/>
      <c r="J81" s="86"/>
      <c r="K81" s="86"/>
      <c r="L81" s="86"/>
      <c r="M81" s="86"/>
      <c r="N81" s="86"/>
      <c r="O81" s="86"/>
      <c r="P81" s="86"/>
      <c r="Q81" s="111"/>
      <c r="R81" s="551"/>
      <c r="S81" s="200"/>
      <c r="T81" s="200"/>
      <c r="U81" s="201"/>
      <c r="V81" s="201"/>
      <c r="W81" s="200"/>
      <c r="X81" s="200"/>
      <c r="Y81" s="200"/>
      <c r="Z81" s="201"/>
      <c r="AA81" s="201"/>
      <c r="AB81" s="200"/>
      <c r="AC81" s="200"/>
      <c r="AD81" s="200"/>
      <c r="AE81" s="201"/>
      <c r="AF81" s="201"/>
      <c r="AG81" s="54"/>
      <c r="AH81" s="54"/>
      <c r="AI81" s="54"/>
    </row>
    <row r="82" spans="1:35" s="89" customFormat="1" ht="18.75" thickBot="1" x14ac:dyDescent="0.3">
      <c r="A82" s="198" t="s">
        <v>291</v>
      </c>
      <c r="B82" s="146"/>
      <c r="C82" s="157"/>
      <c r="D82" s="157"/>
      <c r="E82" s="157"/>
      <c r="F82" s="157"/>
      <c r="G82" s="157"/>
      <c r="H82" s="157"/>
      <c r="I82" s="87"/>
      <c r="J82" s="87"/>
      <c r="K82" s="87"/>
      <c r="L82" s="87"/>
      <c r="M82" s="87"/>
      <c r="N82" s="87"/>
      <c r="O82" s="87"/>
      <c r="P82" s="87"/>
      <c r="Q82" s="88"/>
      <c r="R82" s="554"/>
      <c r="S82" s="202"/>
      <c r="T82" s="202"/>
      <c r="U82" s="203"/>
      <c r="V82" s="203"/>
      <c r="W82" s="202"/>
      <c r="X82" s="202"/>
      <c r="Y82" s="202"/>
      <c r="Z82" s="203"/>
      <c r="AA82" s="203"/>
      <c r="AB82" s="202"/>
      <c r="AC82" s="202"/>
      <c r="AD82" s="202"/>
      <c r="AE82" s="203"/>
      <c r="AF82" s="203"/>
      <c r="AG82" s="55"/>
      <c r="AH82" s="55"/>
      <c r="AI82" s="55"/>
    </row>
    <row r="83" spans="1:35" x14ac:dyDescent="0.2">
      <c r="A83" s="196"/>
      <c r="B83" s="142"/>
      <c r="C83" s="132"/>
      <c r="D83" s="132"/>
      <c r="E83" s="132"/>
      <c r="F83" s="132"/>
      <c r="G83" s="132"/>
      <c r="H83" s="132"/>
      <c r="I83" s="86"/>
      <c r="J83" s="86"/>
      <c r="K83" s="86"/>
      <c r="L83" s="86"/>
      <c r="M83" s="86"/>
      <c r="N83" s="86"/>
      <c r="O83" s="86"/>
      <c r="P83" s="86"/>
      <c r="Q83" s="111"/>
      <c r="R83" s="551"/>
      <c r="S83" s="200"/>
      <c r="T83" s="200"/>
      <c r="U83" s="201"/>
      <c r="V83" s="201"/>
      <c r="W83" s="200"/>
      <c r="X83" s="200"/>
      <c r="Y83" s="200"/>
      <c r="Z83" s="201"/>
      <c r="AA83" s="201"/>
      <c r="AB83" s="200"/>
      <c r="AC83" s="200"/>
      <c r="AD83" s="200"/>
      <c r="AE83" s="201"/>
      <c r="AF83" s="201"/>
      <c r="AG83" s="54"/>
      <c r="AH83" s="54"/>
      <c r="AI83" s="54"/>
    </row>
    <row r="84" spans="1:35" ht="19.5" thickBot="1" x14ac:dyDescent="0.35">
      <c r="A84" s="158" t="s">
        <v>229</v>
      </c>
      <c r="B84" s="139"/>
      <c r="C84" s="132"/>
      <c r="D84" s="132"/>
      <c r="E84" s="132"/>
      <c r="F84" s="132"/>
      <c r="G84" s="132"/>
      <c r="H84" s="132"/>
      <c r="I84" s="86"/>
      <c r="J84" s="86"/>
      <c r="K84" s="86"/>
      <c r="L84" s="86"/>
      <c r="M84" s="635" t="s">
        <v>943</v>
      </c>
      <c r="N84" s="636" t="str">
        <f>VIN_nom&amp;"V"</f>
        <v>12V</v>
      </c>
      <c r="O84" s="86"/>
      <c r="P84" s="86"/>
      <c r="Q84" s="111"/>
      <c r="R84" s="551"/>
      <c r="S84" s="200"/>
      <c r="T84" s="200"/>
      <c r="U84" s="201"/>
      <c r="V84" s="201"/>
      <c r="W84" s="200"/>
      <c r="X84" s="200"/>
      <c r="Y84" s="200"/>
      <c r="Z84" s="201"/>
      <c r="AA84" s="201"/>
      <c r="AB84" s="200"/>
      <c r="AC84" s="200"/>
      <c r="AD84" s="200"/>
      <c r="AE84" s="201"/>
      <c r="AF84" s="201"/>
      <c r="AG84" s="54"/>
      <c r="AH84" s="54"/>
      <c r="AI84" s="54"/>
    </row>
    <row r="85" spans="1:35" ht="18" customHeight="1" x14ac:dyDescent="0.25">
      <c r="A85" s="181"/>
      <c r="B85" s="182"/>
      <c r="C85" s="183"/>
      <c r="D85" s="214" t="s">
        <v>793</v>
      </c>
      <c r="E85" s="269" t="s">
        <v>941</v>
      </c>
      <c r="F85" s="183"/>
      <c r="G85" s="184"/>
      <c r="H85" s="132"/>
      <c r="I85" s="86"/>
      <c r="J85" s="86"/>
      <c r="K85" s="86"/>
      <c r="L85" s="86"/>
      <c r="M85" s="86"/>
      <c r="N85" s="86"/>
      <c r="O85" s="86"/>
      <c r="P85" s="86"/>
      <c r="Q85" s="111"/>
      <c r="R85" s="551"/>
      <c r="S85" s="200"/>
      <c r="T85" s="125"/>
      <c r="U85" s="125"/>
      <c r="V85" s="201"/>
      <c r="W85" s="200"/>
      <c r="X85" s="200"/>
      <c r="Y85" s="200"/>
      <c r="Z85" s="201"/>
      <c r="AA85" s="201"/>
      <c r="AB85" s="200"/>
      <c r="AC85" s="200"/>
      <c r="AD85" s="200"/>
      <c r="AE85" s="201"/>
      <c r="AF85" s="201"/>
      <c r="AG85" s="54"/>
      <c r="AH85" s="54"/>
      <c r="AI85" s="54"/>
    </row>
    <row r="86" spans="1:35" ht="14.45" customHeight="1" x14ac:dyDescent="0.2">
      <c r="A86" s="527"/>
      <c r="B86" s="117"/>
      <c r="C86" s="117"/>
      <c r="D86" s="117"/>
      <c r="E86" s="528" t="s">
        <v>765</v>
      </c>
      <c r="F86" s="645" t="s">
        <v>794</v>
      </c>
      <c r="G86" s="646"/>
      <c r="H86" s="132"/>
      <c r="I86" s="86"/>
      <c r="J86" s="86"/>
      <c r="K86" s="86"/>
      <c r="L86" s="86"/>
      <c r="M86" s="86"/>
      <c r="N86" s="86"/>
      <c r="O86" s="86"/>
      <c r="P86" s="86"/>
      <c r="Q86" s="111"/>
      <c r="R86" s="551"/>
      <c r="S86" s="200"/>
      <c r="T86" s="125"/>
      <c r="U86" s="125"/>
      <c r="V86" s="201"/>
      <c r="W86" s="200"/>
      <c r="X86" s="200"/>
      <c r="Y86" s="200"/>
      <c r="Z86" s="201"/>
      <c r="AA86" s="201"/>
      <c r="AB86" s="200"/>
      <c r="AC86" s="200"/>
      <c r="AD86" s="200"/>
      <c r="AE86" s="201"/>
      <c r="AF86" s="201"/>
      <c r="AG86" s="54"/>
      <c r="AH86" s="54"/>
      <c r="AI86" s="54"/>
    </row>
    <row r="87" spans="1:35" ht="14.45" customHeight="1" x14ac:dyDescent="0.25">
      <c r="A87" s="131"/>
      <c r="B87" s="132"/>
      <c r="C87" s="140"/>
      <c r="D87" s="128" t="s">
        <v>351</v>
      </c>
      <c r="E87" s="267">
        <v>5.7</v>
      </c>
      <c r="F87" s="267">
        <v>5.7</v>
      </c>
      <c r="G87" s="170" t="s">
        <v>53</v>
      </c>
      <c r="H87" s="132"/>
      <c r="I87" s="86"/>
      <c r="J87" s="86"/>
      <c r="K87" s="86"/>
      <c r="L87" s="86"/>
      <c r="M87" s="86"/>
      <c r="N87" s="86"/>
      <c r="O87" s="86"/>
      <c r="P87" s="86"/>
      <c r="Q87" s="111"/>
      <c r="R87" s="551"/>
      <c r="S87" s="200"/>
      <c r="T87" s="125"/>
      <c r="U87" s="125"/>
      <c r="V87" s="201"/>
      <c r="W87" s="200"/>
      <c r="X87" s="200"/>
      <c r="Y87" s="200"/>
      <c r="Z87" s="201"/>
      <c r="AA87" s="201"/>
      <c r="AB87" s="200"/>
      <c r="AC87" s="200"/>
      <c r="AD87" s="200"/>
      <c r="AE87" s="201"/>
      <c r="AF87" s="201"/>
      <c r="AG87" s="54"/>
      <c r="AH87" s="54"/>
      <c r="AI87" s="54"/>
    </row>
    <row r="88" spans="1:35" ht="14.45" customHeight="1" x14ac:dyDescent="0.25">
      <c r="A88" s="131"/>
      <c r="B88" s="132"/>
      <c r="C88" s="140"/>
      <c r="D88" s="128" t="s">
        <v>352</v>
      </c>
      <c r="E88" s="133">
        <v>11</v>
      </c>
      <c r="F88" s="133">
        <v>11</v>
      </c>
      <c r="G88" s="170" t="s">
        <v>69</v>
      </c>
      <c r="H88" s="132"/>
      <c r="I88" s="86"/>
      <c r="J88" s="86"/>
      <c r="K88" s="86"/>
      <c r="L88" s="86"/>
      <c r="M88" s="86"/>
      <c r="N88" s="86"/>
      <c r="O88" s="86"/>
      <c r="P88" s="86"/>
      <c r="Q88" s="111"/>
      <c r="R88" s="551"/>
      <c r="S88" s="200"/>
      <c r="T88" s="125"/>
      <c r="U88" s="125"/>
      <c r="V88" s="201"/>
      <c r="W88" s="200"/>
      <c r="X88" s="200"/>
      <c r="Y88" s="200"/>
      <c r="Z88" s="201"/>
      <c r="AA88" s="201"/>
      <c r="AB88" s="200"/>
      <c r="AC88" s="200"/>
      <c r="AD88" s="200"/>
      <c r="AE88" s="201"/>
      <c r="AF88" s="201"/>
      <c r="AG88" s="54"/>
      <c r="AH88" s="54"/>
      <c r="AI88" s="54"/>
    </row>
    <row r="89" spans="1:35" ht="14.45" customHeight="1" x14ac:dyDescent="0.25">
      <c r="A89" s="131"/>
      <c r="B89" s="132"/>
      <c r="C89" s="140"/>
      <c r="D89" s="128" t="s">
        <v>353</v>
      </c>
      <c r="E89" s="133">
        <v>2.9</v>
      </c>
      <c r="F89" s="133">
        <v>2.9</v>
      </c>
      <c r="G89" s="170" t="s">
        <v>69</v>
      </c>
      <c r="H89" s="132"/>
      <c r="I89" s="86"/>
      <c r="J89" s="86"/>
      <c r="K89" s="86"/>
      <c r="L89" s="86"/>
      <c r="M89" s="86"/>
      <c r="N89" s="86"/>
      <c r="O89" s="86"/>
      <c r="P89" s="86"/>
      <c r="Q89" s="111"/>
      <c r="R89" s="551"/>
      <c r="S89" s="200"/>
      <c r="T89" s="125"/>
      <c r="U89" s="125"/>
      <c r="V89" s="201"/>
      <c r="W89" s="200"/>
      <c r="X89" s="200"/>
      <c r="Y89" s="200"/>
      <c r="Z89" s="201"/>
      <c r="AA89" s="201"/>
      <c r="AB89" s="200"/>
      <c r="AC89" s="200"/>
      <c r="AD89" s="200"/>
      <c r="AE89" s="201"/>
      <c r="AF89" s="201"/>
      <c r="AG89" s="54"/>
      <c r="AH89" s="54"/>
      <c r="AI89" s="54"/>
    </row>
    <row r="90" spans="1:35" ht="14.45" customHeight="1" x14ac:dyDescent="0.25">
      <c r="A90" s="131"/>
      <c r="B90" s="132"/>
      <c r="C90" s="140"/>
      <c r="D90" s="128" t="s">
        <v>354</v>
      </c>
      <c r="E90" s="133">
        <v>3.3</v>
      </c>
      <c r="F90" s="133">
        <v>3.3</v>
      </c>
      <c r="G90" s="170" t="s">
        <v>69</v>
      </c>
      <c r="H90" s="132"/>
      <c r="I90" s="86"/>
      <c r="J90" s="86"/>
      <c r="K90" s="86"/>
      <c r="L90" s="86"/>
      <c r="M90" s="86"/>
      <c r="N90" s="86"/>
      <c r="O90" s="86"/>
      <c r="P90" s="86"/>
      <c r="Q90" s="111"/>
      <c r="R90" s="551"/>
      <c r="S90" s="200"/>
      <c r="T90" s="125"/>
      <c r="U90" s="125"/>
      <c r="V90" s="201"/>
      <c r="W90" s="200"/>
      <c r="X90" s="200"/>
      <c r="Y90" s="200"/>
      <c r="Z90" s="201"/>
      <c r="AA90" s="201"/>
      <c r="AB90" s="200"/>
      <c r="AC90" s="200"/>
      <c r="AD90" s="200"/>
      <c r="AE90" s="201"/>
      <c r="AF90" s="201"/>
      <c r="AG90" s="54"/>
      <c r="AH90" s="54"/>
      <c r="AI90" s="54"/>
    </row>
    <row r="91" spans="1:35" ht="14.45" customHeight="1" x14ac:dyDescent="0.25">
      <c r="A91" s="131"/>
      <c r="B91" s="132"/>
      <c r="C91" s="140"/>
      <c r="D91" s="128" t="s">
        <v>355</v>
      </c>
      <c r="E91" s="133">
        <v>1.5</v>
      </c>
      <c r="F91" s="133">
        <v>1.5</v>
      </c>
      <c r="G91" s="170" t="s">
        <v>169</v>
      </c>
      <c r="H91" s="132"/>
      <c r="I91" s="86"/>
      <c r="J91" s="86"/>
      <c r="K91" s="86"/>
      <c r="L91" s="86"/>
      <c r="M91" s="86"/>
      <c r="N91" s="86"/>
      <c r="O91" s="86"/>
      <c r="P91" s="86"/>
      <c r="Q91" s="111"/>
      <c r="R91" s="551"/>
      <c r="S91" s="200"/>
      <c r="T91" s="125"/>
      <c r="U91" s="125"/>
      <c r="V91" s="201"/>
      <c r="W91" s="200"/>
      <c r="X91" s="200"/>
      <c r="Y91" s="200"/>
      <c r="Z91" s="201"/>
      <c r="AA91" s="201"/>
      <c r="AB91" s="200"/>
      <c r="AC91" s="200"/>
      <c r="AD91" s="200"/>
      <c r="AE91" s="201"/>
      <c r="AF91" s="201"/>
      <c r="AG91" s="54"/>
      <c r="AH91" s="54"/>
      <c r="AI91" s="54"/>
    </row>
    <row r="92" spans="1:35" ht="14.45" customHeight="1" x14ac:dyDescent="0.25">
      <c r="A92" s="131"/>
      <c r="B92" s="132"/>
      <c r="C92" s="140"/>
      <c r="D92" s="128" t="s">
        <v>356</v>
      </c>
      <c r="E92" s="133">
        <v>60</v>
      </c>
      <c r="F92" s="133">
        <v>60</v>
      </c>
      <c r="G92" s="170" t="s">
        <v>70</v>
      </c>
      <c r="H92" s="132"/>
      <c r="I92" s="86"/>
      <c r="J92" s="86"/>
      <c r="K92" s="86"/>
      <c r="L92" s="86"/>
      <c r="M92" s="86"/>
      <c r="N92" s="86"/>
      <c r="O92" s="86"/>
      <c r="P92" s="86"/>
      <c r="Q92" s="111"/>
      <c r="R92" s="551"/>
      <c r="S92" s="200"/>
      <c r="T92" s="125"/>
      <c r="U92" s="125"/>
      <c r="V92" s="201"/>
      <c r="W92" s="200"/>
      <c r="X92" s="200"/>
      <c r="Y92" s="200"/>
      <c r="Z92" s="201"/>
      <c r="AA92" s="201"/>
      <c r="AB92" s="200"/>
      <c r="AC92" s="200"/>
      <c r="AD92" s="200"/>
      <c r="AE92" s="201"/>
      <c r="AF92" s="201"/>
      <c r="AG92" s="54"/>
      <c r="AH92" s="54"/>
      <c r="AI92" s="54"/>
    </row>
    <row r="93" spans="1:35" ht="14.45" customHeight="1" x14ac:dyDescent="0.25">
      <c r="A93" s="131"/>
      <c r="B93" s="132"/>
      <c r="C93" s="140"/>
      <c r="D93" s="128" t="s">
        <v>788</v>
      </c>
      <c r="E93" s="133">
        <v>4</v>
      </c>
      <c r="F93" s="133">
        <v>4</v>
      </c>
      <c r="G93" s="170" t="s">
        <v>0</v>
      </c>
      <c r="H93" s="132"/>
      <c r="I93" s="86"/>
      <c r="J93" s="86"/>
      <c r="K93" s="86"/>
      <c r="L93" s="86"/>
      <c r="M93" s="86"/>
      <c r="N93" s="86"/>
      <c r="O93" s="86"/>
      <c r="P93" s="86"/>
      <c r="Q93" s="111"/>
      <c r="R93" s="551"/>
      <c r="S93" s="200"/>
      <c r="T93" s="125"/>
      <c r="U93" s="125"/>
      <c r="V93" s="201"/>
      <c r="W93" s="200"/>
      <c r="X93" s="200"/>
      <c r="Y93" s="200"/>
      <c r="Z93" s="201"/>
      <c r="AA93" s="201"/>
      <c r="AB93" s="200"/>
      <c r="AC93" s="200"/>
      <c r="AD93" s="200"/>
      <c r="AE93" s="201"/>
      <c r="AF93" s="201"/>
      <c r="AG93" s="54"/>
      <c r="AH93" s="54"/>
      <c r="AI93" s="54"/>
    </row>
    <row r="94" spans="1:35" ht="14.45" customHeight="1" x14ac:dyDescent="0.25">
      <c r="A94" s="131"/>
      <c r="B94" s="132"/>
      <c r="C94" s="140"/>
      <c r="D94" s="128" t="s">
        <v>785</v>
      </c>
      <c r="E94" s="133">
        <v>0.8</v>
      </c>
      <c r="F94" s="133">
        <v>0.8</v>
      </c>
      <c r="G94" s="170" t="s">
        <v>0</v>
      </c>
      <c r="H94" s="132"/>
      <c r="I94" s="86"/>
      <c r="J94" s="86"/>
      <c r="K94" s="86"/>
      <c r="L94" s="86"/>
      <c r="M94" s="86"/>
      <c r="N94" s="86"/>
      <c r="O94" s="86"/>
      <c r="P94" s="86"/>
      <c r="Q94" s="111"/>
      <c r="R94" s="551"/>
      <c r="S94" s="200"/>
      <c r="T94" s="125"/>
      <c r="U94" s="125"/>
      <c r="V94" s="201"/>
      <c r="W94" s="200"/>
      <c r="X94" s="200"/>
      <c r="Y94" s="200"/>
      <c r="Z94" s="201"/>
      <c r="AA94" s="201"/>
      <c r="AB94" s="200"/>
      <c r="AC94" s="200"/>
      <c r="AD94" s="200"/>
      <c r="AE94" s="201"/>
      <c r="AF94" s="201"/>
      <c r="AG94" s="54"/>
      <c r="AH94" s="54"/>
      <c r="AI94" s="54"/>
    </row>
    <row r="95" spans="1:35" ht="14.45" customHeight="1" x14ac:dyDescent="0.25">
      <c r="A95" s="131"/>
      <c r="B95" s="132"/>
      <c r="C95" s="132"/>
      <c r="D95" s="128" t="s">
        <v>787</v>
      </c>
      <c r="E95" s="2"/>
      <c r="F95" s="133">
        <v>63</v>
      </c>
      <c r="G95" s="170" t="s">
        <v>69</v>
      </c>
      <c r="H95" s="132"/>
      <c r="I95" s="86"/>
      <c r="J95" s="86"/>
      <c r="K95" s="86"/>
      <c r="L95" s="86"/>
      <c r="M95" s="86"/>
      <c r="N95" s="86"/>
      <c r="O95" s="86"/>
      <c r="P95" s="86"/>
      <c r="Q95" s="111"/>
      <c r="R95" s="551"/>
      <c r="S95" s="200"/>
      <c r="T95" s="125"/>
      <c r="U95" s="125"/>
      <c r="V95" s="201"/>
      <c r="W95" s="200"/>
      <c r="X95" s="200"/>
      <c r="Y95" s="200"/>
      <c r="Z95" s="201"/>
      <c r="AA95" s="201"/>
      <c r="AB95" s="200"/>
      <c r="AC95" s="200"/>
      <c r="AD95" s="200"/>
      <c r="AE95" s="201"/>
      <c r="AF95" s="201"/>
      <c r="AG95" s="54"/>
      <c r="AH95" s="54"/>
      <c r="AI95" s="54"/>
    </row>
    <row r="96" spans="1:35" ht="14.45" customHeight="1" thickBot="1" x14ac:dyDescent="0.3">
      <c r="A96" s="205"/>
      <c r="B96" s="186"/>
      <c r="C96" s="206"/>
      <c r="D96" s="187" t="s">
        <v>357</v>
      </c>
      <c r="E96" s="263">
        <v>50</v>
      </c>
      <c r="F96" s="263">
        <v>50</v>
      </c>
      <c r="G96" s="188" t="s">
        <v>241</v>
      </c>
      <c r="H96" s="132"/>
      <c r="I96" s="86"/>
      <c r="J96" s="86"/>
      <c r="K96" s="86"/>
      <c r="L96" s="86"/>
      <c r="M96" s="86"/>
      <c r="N96" s="86"/>
      <c r="O96" s="86"/>
      <c r="P96" s="86"/>
      <c r="Q96" s="111"/>
      <c r="R96" s="551"/>
      <c r="S96" s="200"/>
      <c r="T96" s="125"/>
      <c r="U96" s="125"/>
      <c r="V96" s="201"/>
      <c r="W96" s="200"/>
      <c r="X96" s="200"/>
      <c r="Y96" s="200"/>
      <c r="Z96" s="201"/>
      <c r="AA96" s="201"/>
      <c r="AB96" s="200"/>
      <c r="AC96" s="200"/>
      <c r="AD96" s="200"/>
      <c r="AE96" s="201"/>
      <c r="AF96" s="201"/>
      <c r="AG96" s="54"/>
      <c r="AH96" s="54"/>
      <c r="AI96" s="54"/>
    </row>
    <row r="97" spans="1:35" ht="18" customHeight="1" thickBot="1" x14ac:dyDescent="0.25">
      <c r="A97" s="131"/>
      <c r="B97" s="132"/>
      <c r="C97" s="140"/>
      <c r="D97" s="128"/>
      <c r="E97" s="204"/>
      <c r="F97" s="207"/>
      <c r="G97" s="132"/>
      <c r="H97" s="132"/>
      <c r="I97" s="86"/>
      <c r="J97" s="86"/>
      <c r="K97" s="86"/>
      <c r="L97" s="86"/>
      <c r="M97" s="86"/>
      <c r="N97" s="86"/>
      <c r="O97" s="86"/>
      <c r="P97" s="86"/>
      <c r="Q97" s="111"/>
      <c r="R97" s="551"/>
      <c r="S97" s="200"/>
      <c r="T97" s="125"/>
      <c r="U97" s="125"/>
      <c r="V97" s="201"/>
      <c r="W97" s="200"/>
      <c r="X97" s="200"/>
      <c r="Y97" s="200"/>
      <c r="Z97" s="201"/>
      <c r="AA97" s="201"/>
      <c r="AB97" s="200"/>
      <c r="AC97" s="200"/>
      <c r="AD97" s="200"/>
      <c r="AE97" s="201"/>
      <c r="AF97" s="201"/>
      <c r="AG97" s="54"/>
      <c r="AH97" s="54"/>
      <c r="AI97" s="54"/>
    </row>
    <row r="98" spans="1:35" ht="14.45" customHeight="1" x14ac:dyDescent="0.25">
      <c r="A98" s="181"/>
      <c r="B98" s="182"/>
      <c r="C98" s="185"/>
      <c r="D98" s="214" t="s">
        <v>792</v>
      </c>
      <c r="E98" s="269" t="s">
        <v>942</v>
      </c>
      <c r="F98" s="183"/>
      <c r="G98" s="184"/>
      <c r="H98" s="132"/>
      <c r="I98" s="86"/>
      <c r="J98" s="86"/>
      <c r="K98" s="86"/>
      <c r="L98" s="86"/>
      <c r="M98" s="86"/>
      <c r="N98" s="86"/>
      <c r="O98" s="86"/>
      <c r="P98" s="86"/>
      <c r="Q98" s="111"/>
      <c r="R98" s="551"/>
      <c r="S98" s="200"/>
      <c r="T98" s="125"/>
      <c r="U98" s="125"/>
      <c r="V98" s="201"/>
      <c r="W98" s="200"/>
      <c r="X98" s="200"/>
      <c r="Y98" s="200"/>
      <c r="Z98" s="201"/>
      <c r="AA98" s="201"/>
      <c r="AB98" s="200"/>
      <c r="AC98" s="200"/>
      <c r="AD98" s="200"/>
      <c r="AE98" s="201"/>
      <c r="AF98" s="201"/>
      <c r="AG98" s="54"/>
      <c r="AH98" s="54"/>
      <c r="AI98" s="54"/>
    </row>
    <row r="99" spans="1:35" ht="14.45" customHeight="1" x14ac:dyDescent="0.2">
      <c r="A99" s="527"/>
      <c r="B99" s="117"/>
      <c r="C99" s="117"/>
      <c r="D99" s="117"/>
      <c r="E99" s="539" t="s">
        <v>765</v>
      </c>
      <c r="F99" s="537" t="s">
        <v>794</v>
      </c>
      <c r="G99" s="275"/>
      <c r="H99" s="132"/>
      <c r="I99" s="86"/>
      <c r="J99" s="86"/>
      <c r="K99" s="86"/>
      <c r="L99" s="86"/>
      <c r="M99" s="86"/>
      <c r="N99" s="86"/>
      <c r="O99" s="86"/>
      <c r="P99" s="86"/>
      <c r="Q99" s="111"/>
      <c r="R99" s="551"/>
      <c r="S99" s="200"/>
      <c r="T99" s="125"/>
      <c r="U99" s="125"/>
      <c r="V99" s="201"/>
      <c r="W99" s="200"/>
      <c r="X99" s="200"/>
      <c r="Y99" s="200"/>
      <c r="Z99" s="201"/>
      <c r="AA99" s="201"/>
      <c r="AB99" s="200"/>
      <c r="AC99" s="200"/>
      <c r="AD99" s="200"/>
      <c r="AE99" s="201"/>
      <c r="AF99" s="201"/>
      <c r="AG99" s="54"/>
      <c r="AH99" s="54"/>
      <c r="AI99" s="54"/>
    </row>
    <row r="100" spans="1:35" ht="14.45" customHeight="1" x14ac:dyDescent="0.25">
      <c r="A100" s="131"/>
      <c r="B100" s="132"/>
      <c r="C100" s="132"/>
      <c r="D100" s="128" t="s">
        <v>351</v>
      </c>
      <c r="E100" s="133">
        <v>1.9</v>
      </c>
      <c r="F100" s="133">
        <v>1.9</v>
      </c>
      <c r="G100" s="170" t="s">
        <v>53</v>
      </c>
      <c r="H100" s="132"/>
      <c r="I100" s="86"/>
      <c r="J100" s="86"/>
      <c r="K100" s="86"/>
      <c r="L100" s="86"/>
      <c r="M100" s="86"/>
      <c r="N100" s="86"/>
      <c r="O100" s="86"/>
      <c r="P100" s="86"/>
      <c r="Q100" s="111"/>
      <c r="R100" s="551"/>
      <c r="S100" s="200"/>
      <c r="T100" s="125"/>
      <c r="U100" s="125"/>
      <c r="V100" s="201"/>
      <c r="W100" s="200"/>
      <c r="X100" s="200"/>
      <c r="Y100" s="200"/>
      <c r="Z100" s="201"/>
      <c r="AA100" s="201"/>
      <c r="AB100" s="200"/>
      <c r="AC100" s="200"/>
      <c r="AD100" s="200"/>
      <c r="AE100" s="201"/>
      <c r="AF100" s="201"/>
      <c r="AG100" s="54"/>
      <c r="AH100" s="54"/>
      <c r="AI100" s="54"/>
    </row>
    <row r="101" spans="1:35" ht="14.45" customHeight="1" x14ac:dyDescent="0.25">
      <c r="A101" s="131"/>
      <c r="B101" s="132"/>
      <c r="C101" s="132"/>
      <c r="D101" s="128" t="s">
        <v>352</v>
      </c>
      <c r="E101" s="133">
        <v>22</v>
      </c>
      <c r="F101" s="133">
        <v>22</v>
      </c>
      <c r="G101" s="170" t="s">
        <v>69</v>
      </c>
      <c r="H101" s="132"/>
      <c r="I101" s="86"/>
      <c r="J101" s="86"/>
      <c r="K101" s="86"/>
      <c r="L101" s="86"/>
      <c r="M101" s="86"/>
      <c r="N101" s="86"/>
      <c r="O101" s="86"/>
      <c r="P101" s="86"/>
      <c r="Q101" s="111"/>
      <c r="R101" s="551"/>
      <c r="S101" s="200"/>
      <c r="T101" s="125"/>
      <c r="U101" s="125"/>
      <c r="V101" s="201"/>
      <c r="W101" s="200"/>
      <c r="X101" s="200"/>
      <c r="Y101" s="200"/>
      <c r="Z101" s="201"/>
      <c r="AA101" s="201"/>
      <c r="AB101" s="200"/>
      <c r="AC101" s="200"/>
      <c r="AD101" s="200"/>
      <c r="AE101" s="201"/>
      <c r="AF101" s="201"/>
      <c r="AG101" s="54"/>
      <c r="AH101" s="54"/>
      <c r="AI101" s="54"/>
    </row>
    <row r="102" spans="1:35" ht="14.45" customHeight="1" x14ac:dyDescent="0.25">
      <c r="A102" s="131"/>
      <c r="B102" s="132"/>
      <c r="C102" s="140"/>
      <c r="D102" s="128" t="s">
        <v>353</v>
      </c>
      <c r="E102" s="133">
        <v>2.5</v>
      </c>
      <c r="F102" s="133">
        <v>2.5</v>
      </c>
      <c r="G102" s="170" t="s">
        <v>69</v>
      </c>
      <c r="H102" s="132"/>
      <c r="I102" s="86"/>
      <c r="J102" s="86"/>
      <c r="K102" s="86"/>
      <c r="L102" s="86"/>
      <c r="M102" s="86"/>
      <c r="N102" s="86"/>
      <c r="O102" s="86"/>
      <c r="P102" s="86"/>
      <c r="Q102" s="111"/>
      <c r="R102" s="551"/>
      <c r="S102" s="200"/>
      <c r="T102" s="125"/>
      <c r="U102" s="125"/>
      <c r="V102" s="201"/>
      <c r="W102" s="200"/>
      <c r="X102" s="200"/>
      <c r="Y102" s="200"/>
      <c r="Z102" s="201"/>
      <c r="AA102" s="201"/>
      <c r="AB102" s="200"/>
      <c r="AC102" s="200"/>
      <c r="AD102" s="200"/>
      <c r="AE102" s="201"/>
      <c r="AF102" s="201"/>
      <c r="AG102" s="54"/>
      <c r="AH102" s="54"/>
      <c r="AI102" s="54"/>
    </row>
    <row r="103" spans="1:35" ht="14.45" customHeight="1" x14ac:dyDescent="0.25">
      <c r="A103" s="131"/>
      <c r="B103" s="132"/>
      <c r="C103" s="140"/>
      <c r="D103" s="128" t="s">
        <v>354</v>
      </c>
      <c r="E103" s="133">
        <v>4</v>
      </c>
      <c r="F103" s="133">
        <v>4</v>
      </c>
      <c r="G103" s="170" t="s">
        <v>69</v>
      </c>
      <c r="H103" s="132"/>
      <c r="I103" s="86"/>
      <c r="J103" s="86"/>
      <c r="K103" s="86"/>
      <c r="L103" s="86"/>
      <c r="M103" s="86"/>
      <c r="N103" s="86"/>
      <c r="O103" s="86"/>
      <c r="P103" s="86"/>
      <c r="Q103" s="111"/>
      <c r="R103" s="551"/>
      <c r="S103" s="200"/>
      <c r="T103" s="125"/>
      <c r="U103" s="125"/>
      <c r="V103" s="201"/>
      <c r="W103" s="200"/>
      <c r="X103" s="200"/>
      <c r="Y103" s="200"/>
      <c r="Z103" s="201"/>
      <c r="AA103" s="201"/>
      <c r="AB103" s="200"/>
      <c r="AC103" s="200"/>
      <c r="AD103" s="200"/>
      <c r="AE103" s="201"/>
      <c r="AF103" s="201"/>
      <c r="AG103" s="54"/>
      <c r="AH103" s="54"/>
      <c r="AI103" s="54"/>
    </row>
    <row r="104" spans="1:35" ht="14.45" customHeight="1" x14ac:dyDescent="0.25">
      <c r="A104" s="131"/>
      <c r="B104" s="132"/>
      <c r="C104" s="140"/>
      <c r="D104" s="128" t="s">
        <v>355</v>
      </c>
      <c r="E104" s="133">
        <v>1.5</v>
      </c>
      <c r="F104" s="133">
        <v>1.5</v>
      </c>
      <c r="G104" s="170" t="s">
        <v>169</v>
      </c>
      <c r="H104" s="132"/>
      <c r="I104" s="86"/>
      <c r="J104" s="86"/>
      <c r="K104" s="86"/>
      <c r="L104" s="86"/>
      <c r="M104" s="86"/>
      <c r="N104" s="86"/>
      <c r="O104" s="86"/>
      <c r="P104" s="86"/>
      <c r="Q104" s="111"/>
      <c r="R104" s="551"/>
      <c r="S104" s="200"/>
      <c r="T104" s="125"/>
      <c r="U104" s="125"/>
      <c r="V104" s="201"/>
      <c r="W104" s="200"/>
      <c r="X104" s="200"/>
      <c r="Y104" s="200"/>
      <c r="Z104" s="201"/>
      <c r="AA104" s="201"/>
      <c r="AB104" s="200"/>
      <c r="AC104" s="200"/>
      <c r="AD104" s="200"/>
      <c r="AE104" s="201"/>
      <c r="AF104" s="201"/>
      <c r="AG104" s="54"/>
      <c r="AH104" s="54"/>
      <c r="AI104" s="54"/>
    </row>
    <row r="105" spans="1:35" ht="14.45" customHeight="1" x14ac:dyDescent="0.25">
      <c r="A105" s="131"/>
      <c r="B105" s="132"/>
      <c r="C105" s="140"/>
      <c r="D105" s="128" t="s">
        <v>356</v>
      </c>
      <c r="E105" s="133">
        <v>150</v>
      </c>
      <c r="F105" s="133">
        <v>150</v>
      </c>
      <c r="G105" s="170" t="s">
        <v>70</v>
      </c>
      <c r="H105" s="132"/>
      <c r="I105" s="86"/>
      <c r="J105" s="86"/>
      <c r="K105" s="86"/>
      <c r="L105" s="86"/>
      <c r="M105" s="86"/>
      <c r="N105" s="86"/>
      <c r="O105" s="86"/>
      <c r="P105" s="86"/>
      <c r="Q105" s="111"/>
      <c r="R105" s="551"/>
      <c r="S105" s="54"/>
      <c r="T105" s="6"/>
      <c r="U105" s="6"/>
      <c r="W105" s="54"/>
      <c r="X105" s="54"/>
      <c r="Y105" s="54"/>
      <c r="AB105" s="54"/>
      <c r="AC105" s="54"/>
      <c r="AD105" s="54"/>
      <c r="AG105" s="54"/>
      <c r="AH105" s="54"/>
      <c r="AI105" s="54"/>
    </row>
    <row r="106" spans="1:35" ht="14.45" customHeight="1" x14ac:dyDescent="0.25">
      <c r="A106" s="131"/>
      <c r="B106" s="132"/>
      <c r="C106" s="140"/>
      <c r="D106" s="128" t="s">
        <v>788</v>
      </c>
      <c r="E106" s="133">
        <v>2</v>
      </c>
      <c r="F106" s="133">
        <v>2</v>
      </c>
      <c r="G106" s="170" t="s">
        <v>0</v>
      </c>
      <c r="H106" s="132"/>
      <c r="I106" s="86"/>
      <c r="J106" s="86"/>
      <c r="K106" s="86"/>
      <c r="L106" s="86"/>
      <c r="M106" s="86"/>
      <c r="N106" s="86"/>
      <c r="O106" s="86"/>
      <c r="P106" s="86"/>
      <c r="Q106" s="111"/>
      <c r="R106" s="551"/>
      <c r="S106" s="54"/>
      <c r="T106" s="54"/>
      <c r="W106" s="54"/>
      <c r="X106" s="54"/>
      <c r="Y106" s="54"/>
      <c r="AB106" s="54"/>
      <c r="AC106" s="54"/>
      <c r="AD106" s="54"/>
      <c r="AG106" s="54"/>
      <c r="AH106" s="54"/>
      <c r="AI106" s="54"/>
    </row>
    <row r="107" spans="1:35" ht="14.45" customHeight="1" x14ac:dyDescent="0.25">
      <c r="A107" s="131"/>
      <c r="B107" s="132"/>
      <c r="C107" s="132"/>
      <c r="D107" s="128" t="s">
        <v>785</v>
      </c>
      <c r="E107" s="133">
        <v>0.8</v>
      </c>
      <c r="F107" s="133">
        <v>0.8</v>
      </c>
      <c r="G107" s="170" t="s">
        <v>0</v>
      </c>
      <c r="H107" s="132"/>
      <c r="I107" s="86"/>
      <c r="J107" s="86"/>
      <c r="K107" s="86"/>
      <c r="L107" s="86"/>
      <c r="M107" s="86"/>
      <c r="N107" s="86"/>
      <c r="O107" s="86"/>
      <c r="P107" s="86"/>
      <c r="Q107" s="111"/>
      <c r="R107" s="551"/>
      <c r="S107" s="54"/>
      <c r="T107" s="54"/>
      <c r="W107" s="54"/>
      <c r="X107" s="54"/>
      <c r="Y107" s="54"/>
      <c r="AB107" s="54"/>
      <c r="AC107" s="54"/>
      <c r="AD107" s="54"/>
      <c r="AG107" s="54"/>
      <c r="AH107" s="54"/>
      <c r="AI107" s="54"/>
    </row>
    <row r="108" spans="1:35" ht="14.45" customHeight="1" x14ac:dyDescent="0.25">
      <c r="A108" s="131"/>
      <c r="B108" s="132"/>
      <c r="C108" s="132"/>
      <c r="D108" s="128" t="s">
        <v>787</v>
      </c>
      <c r="E108" s="133">
        <v>33</v>
      </c>
      <c r="F108" s="2"/>
      <c r="G108" s="170" t="s">
        <v>69</v>
      </c>
      <c r="H108" s="132"/>
      <c r="I108" s="86"/>
      <c r="J108" s="86"/>
      <c r="K108" s="86"/>
      <c r="L108" s="86"/>
      <c r="M108" s="86"/>
      <c r="N108" s="86"/>
      <c r="O108" s="86"/>
      <c r="P108" s="86"/>
      <c r="Q108" s="111"/>
      <c r="R108" s="551"/>
      <c r="S108" s="54"/>
      <c r="T108" s="54"/>
      <c r="W108" s="54"/>
      <c r="X108" s="54"/>
      <c r="Y108" s="54"/>
      <c r="AB108" s="54"/>
      <c r="AC108" s="54"/>
      <c r="AD108" s="54"/>
      <c r="AG108" s="54"/>
      <c r="AH108" s="54"/>
      <c r="AI108" s="54"/>
    </row>
    <row r="109" spans="1:35" ht="14.25" customHeight="1" thickBot="1" x14ac:dyDescent="0.3">
      <c r="A109" s="205"/>
      <c r="B109" s="186"/>
      <c r="C109" s="186"/>
      <c r="D109" s="187" t="s">
        <v>357</v>
      </c>
      <c r="E109" s="263">
        <v>50</v>
      </c>
      <c r="F109" s="263">
        <v>50</v>
      </c>
      <c r="G109" s="188" t="s">
        <v>241</v>
      </c>
      <c r="H109" s="132"/>
      <c r="I109" s="86"/>
      <c r="J109" s="86"/>
      <c r="K109" s="86"/>
      <c r="L109" s="86"/>
      <c r="M109" s="86"/>
      <c r="N109" s="86"/>
      <c r="O109" s="86"/>
      <c r="P109" s="86"/>
      <c r="Q109" s="111"/>
      <c r="R109" s="551"/>
      <c r="S109" s="54"/>
      <c r="T109" s="54"/>
      <c r="W109" s="54"/>
      <c r="X109" s="54"/>
      <c r="Y109" s="54"/>
      <c r="AB109" s="54"/>
      <c r="AC109" s="54"/>
      <c r="AD109" s="54"/>
      <c r="AG109" s="54"/>
      <c r="AH109" s="54"/>
      <c r="AI109" s="54"/>
    </row>
    <row r="110" spans="1:35" ht="14.45" customHeight="1" thickBot="1" x14ac:dyDescent="0.25">
      <c r="A110" s="131"/>
      <c r="B110" s="132"/>
      <c r="C110" s="132"/>
      <c r="D110" s="128"/>
      <c r="E110" s="514"/>
      <c r="F110" s="207"/>
      <c r="G110" s="132"/>
      <c r="H110" s="132"/>
      <c r="I110" s="90"/>
      <c r="J110" s="91"/>
      <c r="K110" s="86"/>
      <c r="L110" s="86"/>
      <c r="M110" s="86"/>
      <c r="N110" s="86"/>
      <c r="O110" s="86"/>
      <c r="P110" s="86"/>
      <c r="Q110" s="111"/>
      <c r="R110" s="551"/>
      <c r="S110" s="54"/>
      <c r="T110" s="54"/>
      <c r="W110" s="54"/>
      <c r="X110" s="54"/>
      <c r="Y110" s="54"/>
      <c r="AB110" s="54"/>
      <c r="AC110" s="54"/>
      <c r="AD110" s="54"/>
      <c r="AG110" s="54"/>
      <c r="AH110" s="54"/>
      <c r="AI110" s="54"/>
    </row>
    <row r="111" spans="1:35" ht="14.45" customHeight="1" x14ac:dyDescent="0.2">
      <c r="A111" s="530" t="s">
        <v>721</v>
      </c>
      <c r="B111" s="515"/>
      <c r="C111" s="516"/>
      <c r="D111" s="530"/>
      <c r="E111" s="535" t="s">
        <v>784</v>
      </c>
      <c r="F111" s="536" t="s">
        <v>795</v>
      </c>
      <c r="G111" s="517"/>
      <c r="H111" s="132"/>
      <c r="I111" s="86"/>
      <c r="J111" s="86"/>
      <c r="K111" s="86"/>
      <c r="L111" s="86"/>
      <c r="M111" s="86"/>
      <c r="N111" s="86"/>
      <c r="O111" s="86"/>
      <c r="P111" s="86"/>
      <c r="Q111" s="111"/>
      <c r="R111" s="551"/>
      <c r="S111" s="54"/>
      <c r="T111" s="54"/>
      <c r="W111" s="54"/>
      <c r="X111" s="54"/>
      <c r="Y111" s="54"/>
      <c r="AB111" s="54"/>
      <c r="AC111" s="54"/>
      <c r="AD111" s="54"/>
      <c r="AG111" s="54"/>
      <c r="AH111" s="54"/>
      <c r="AI111" s="54"/>
    </row>
    <row r="112" spans="1:35" ht="14.45" customHeight="1" x14ac:dyDescent="0.25">
      <c r="A112" s="131"/>
      <c r="B112" s="132"/>
      <c r="C112" s="132"/>
      <c r="D112" s="128" t="s">
        <v>789</v>
      </c>
      <c r="E112" s="264">
        <v>0</v>
      </c>
      <c r="F112" s="264">
        <v>0</v>
      </c>
      <c r="G112" s="170" t="s">
        <v>0</v>
      </c>
      <c r="H112" s="132"/>
      <c r="I112" s="86"/>
      <c r="J112" s="86"/>
      <c r="K112" s="86"/>
      <c r="L112" s="86"/>
      <c r="M112" s="86"/>
      <c r="N112" s="86"/>
      <c r="O112" s="86"/>
      <c r="P112" s="86"/>
      <c r="Q112" s="111"/>
      <c r="R112" s="551"/>
      <c r="S112" s="54"/>
      <c r="T112" s="54"/>
      <c r="W112" s="54"/>
      <c r="X112" s="54"/>
      <c r="Y112" s="54"/>
      <c r="AB112" s="54"/>
      <c r="AC112" s="54"/>
      <c r="AD112" s="54"/>
      <c r="AG112" s="54"/>
      <c r="AH112" s="54"/>
      <c r="AI112" s="54"/>
    </row>
    <row r="113" spans="1:35" ht="14.45" customHeight="1" thickBot="1" x14ac:dyDescent="0.3">
      <c r="A113" s="205"/>
      <c r="B113" s="186"/>
      <c r="C113" s="186"/>
      <c r="D113" s="187" t="s">
        <v>786</v>
      </c>
      <c r="E113" s="265">
        <v>0</v>
      </c>
      <c r="F113" s="265">
        <v>0</v>
      </c>
      <c r="G113" s="188" t="s">
        <v>69</v>
      </c>
      <c r="H113" s="132"/>
      <c r="I113" s="86"/>
      <c r="J113" s="86"/>
      <c r="K113" s="86"/>
      <c r="L113" s="86"/>
      <c r="M113" s="86"/>
      <c r="N113" s="86"/>
      <c r="O113" s="86"/>
      <c r="P113" s="86"/>
      <c r="Q113" s="111"/>
      <c r="R113" s="551"/>
      <c r="S113" s="54"/>
      <c r="T113" s="54"/>
      <c r="W113" s="54"/>
      <c r="X113" s="54"/>
      <c r="Y113" s="54"/>
      <c r="AB113" s="54"/>
      <c r="AC113" s="54"/>
      <c r="AD113" s="54"/>
      <c r="AG113" s="54"/>
      <c r="AH113" s="54"/>
      <c r="AI113" s="54"/>
    </row>
    <row r="114" spans="1:35" ht="13.5" thickBot="1" x14ac:dyDescent="0.25">
      <c r="A114" s="166"/>
      <c r="B114" s="167"/>
      <c r="C114" s="167"/>
      <c r="D114" s="167"/>
      <c r="E114" s="215"/>
      <c r="F114" s="167"/>
      <c r="G114" s="167"/>
      <c r="H114" s="167"/>
      <c r="I114" s="216"/>
      <c r="J114" s="216"/>
      <c r="K114" s="216"/>
      <c r="L114" s="216"/>
      <c r="M114" s="216"/>
      <c r="N114" s="216"/>
      <c r="O114" s="216"/>
      <c r="P114" s="216"/>
      <c r="Q114" s="217"/>
      <c r="R114" s="551"/>
      <c r="S114" s="54"/>
      <c r="T114" s="54"/>
      <c r="W114" s="54"/>
      <c r="X114" s="54"/>
      <c r="Y114" s="54"/>
      <c r="AB114" s="54"/>
      <c r="AC114" s="54"/>
      <c r="AD114" s="54"/>
      <c r="AG114" s="54"/>
      <c r="AH114" s="54"/>
      <c r="AI114" s="54"/>
    </row>
    <row r="115" spans="1:35" x14ac:dyDescent="0.2">
      <c r="A115" s="548"/>
      <c r="B115" s="549"/>
      <c r="C115" s="550"/>
      <c r="D115" s="550"/>
      <c r="E115" s="550"/>
      <c r="F115" s="550"/>
      <c r="G115" s="550"/>
      <c r="H115" s="550"/>
      <c r="I115" s="550"/>
      <c r="J115" s="550"/>
      <c r="K115" s="550"/>
      <c r="L115" s="550"/>
      <c r="M115" s="550"/>
      <c r="N115" s="550"/>
      <c r="O115" s="550"/>
      <c r="P115" s="550"/>
      <c r="Q115" s="550"/>
      <c r="R115" s="551"/>
      <c r="S115" s="54"/>
      <c r="T115" s="54"/>
      <c r="W115" s="54"/>
      <c r="X115" s="54"/>
      <c r="Y115" s="54"/>
      <c r="AB115" s="54"/>
      <c r="AC115" s="54"/>
      <c r="AD115" s="54"/>
      <c r="AG115" s="54"/>
      <c r="AH115" s="54"/>
      <c r="AI115" s="54"/>
    </row>
    <row r="116" spans="1:35" x14ac:dyDescent="0.2">
      <c r="A116" s="82"/>
      <c r="R116" s="54"/>
      <c r="S116" s="54"/>
      <c r="T116" s="54"/>
      <c r="W116" s="54"/>
      <c r="X116" s="54"/>
      <c r="Y116" s="54"/>
      <c r="AB116" s="54"/>
      <c r="AC116" s="54"/>
      <c r="AD116" s="54"/>
      <c r="AG116" s="54"/>
      <c r="AH116" s="54"/>
      <c r="AI116" s="54"/>
    </row>
    <row r="117" spans="1:35" x14ac:dyDescent="0.2">
      <c r="R117" s="54"/>
      <c r="S117" s="54"/>
      <c r="T117" s="54"/>
      <c r="W117" s="54"/>
      <c r="X117" s="54"/>
      <c r="Y117" s="54"/>
      <c r="AB117" s="54"/>
      <c r="AC117" s="54"/>
      <c r="AD117" s="54"/>
      <c r="AG117" s="54"/>
      <c r="AH117" s="54"/>
      <c r="AI117" s="54"/>
    </row>
    <row r="118" spans="1:35" x14ac:dyDescent="0.2">
      <c r="R118" s="54"/>
      <c r="S118" s="54"/>
      <c r="T118" s="54"/>
      <c r="W118" s="54"/>
      <c r="X118" s="54"/>
      <c r="Y118" s="54"/>
      <c r="AB118" s="54"/>
      <c r="AC118" s="54"/>
      <c r="AD118" s="54"/>
      <c r="AG118" s="54"/>
      <c r="AH118" s="54"/>
      <c r="AI118" s="54"/>
    </row>
    <row r="119" spans="1:35" x14ac:dyDescent="0.2">
      <c r="R119" s="54"/>
      <c r="S119" s="54"/>
      <c r="T119" s="54"/>
      <c r="W119" s="54"/>
      <c r="X119" s="54"/>
      <c r="Y119" s="54"/>
      <c r="AB119" s="54"/>
      <c r="AC119" s="54"/>
      <c r="AD119" s="54"/>
      <c r="AG119" s="54"/>
      <c r="AH119" s="54"/>
      <c r="AI119" s="54"/>
    </row>
    <row r="120" spans="1:35" x14ac:dyDescent="0.2">
      <c r="R120" s="54"/>
      <c r="S120" s="54"/>
      <c r="T120" s="54"/>
      <c r="W120" s="54"/>
      <c r="X120" s="54"/>
      <c r="Y120" s="54"/>
      <c r="AB120" s="54"/>
      <c r="AC120" s="54"/>
      <c r="AD120" s="54"/>
      <c r="AG120" s="54"/>
      <c r="AH120" s="54"/>
      <c r="AI120" s="54"/>
    </row>
    <row r="121" spans="1:35" x14ac:dyDescent="0.2">
      <c r="R121" s="54"/>
      <c r="S121" s="54"/>
      <c r="T121" s="54"/>
      <c r="W121" s="54"/>
      <c r="X121" s="54"/>
      <c r="Y121" s="54"/>
      <c r="AB121" s="54"/>
      <c r="AC121" s="54"/>
      <c r="AD121" s="54"/>
      <c r="AG121" s="54"/>
      <c r="AH121" s="54"/>
      <c r="AI121" s="54"/>
    </row>
    <row r="122" spans="1:35" x14ac:dyDescent="0.2">
      <c r="R122" s="54"/>
      <c r="S122" s="54"/>
      <c r="T122" s="54"/>
      <c r="W122" s="54"/>
      <c r="X122" s="54"/>
      <c r="Y122" s="54"/>
      <c r="AB122" s="54"/>
      <c r="AC122" s="54"/>
      <c r="AD122" s="54"/>
      <c r="AG122" s="54"/>
      <c r="AH122" s="54"/>
      <c r="AI122" s="54"/>
    </row>
    <row r="123" spans="1:35" x14ac:dyDescent="0.2">
      <c r="R123" s="54"/>
      <c r="S123" s="54"/>
      <c r="T123" s="54"/>
      <c r="W123" s="54"/>
      <c r="X123" s="54"/>
      <c r="Y123" s="54"/>
      <c r="AB123" s="54"/>
      <c r="AC123" s="54"/>
      <c r="AD123" s="54"/>
      <c r="AG123" s="54"/>
      <c r="AH123" s="54"/>
      <c r="AI123" s="54"/>
    </row>
    <row r="124" spans="1:35" x14ac:dyDescent="0.2">
      <c r="R124" s="54"/>
      <c r="S124" s="54"/>
      <c r="T124" s="54"/>
      <c r="W124" s="54"/>
      <c r="X124" s="54"/>
      <c r="Y124" s="54"/>
      <c r="AB124" s="54"/>
      <c r="AC124" s="54"/>
      <c r="AD124" s="54"/>
      <c r="AG124" s="54"/>
      <c r="AH124" s="54"/>
      <c r="AI124" s="54"/>
    </row>
    <row r="125" spans="1:35" x14ac:dyDescent="0.2">
      <c r="R125" s="54"/>
      <c r="S125" s="54"/>
      <c r="T125" s="54"/>
      <c r="W125" s="54"/>
      <c r="X125" s="54"/>
      <c r="Y125" s="54"/>
      <c r="AB125" s="54"/>
      <c r="AC125" s="54"/>
      <c r="AD125" s="54"/>
      <c r="AG125" s="54"/>
      <c r="AH125" s="54"/>
      <c r="AI125" s="54"/>
    </row>
    <row r="126" spans="1:35" x14ac:dyDescent="0.2">
      <c r="R126" s="54"/>
      <c r="S126" s="54"/>
      <c r="T126" s="54"/>
      <c r="W126" s="54"/>
      <c r="X126" s="54"/>
      <c r="Y126" s="54"/>
      <c r="AB126" s="54"/>
      <c r="AC126" s="54"/>
      <c r="AD126" s="54"/>
      <c r="AG126" s="54"/>
      <c r="AH126" s="54"/>
      <c r="AI126" s="54"/>
    </row>
    <row r="127" spans="1:35" x14ac:dyDescent="0.2">
      <c r="R127" s="54"/>
      <c r="S127" s="54"/>
      <c r="T127" s="54"/>
      <c r="W127" s="54"/>
      <c r="X127" s="54"/>
      <c r="Y127" s="54"/>
      <c r="AB127" s="54"/>
      <c r="AC127" s="54"/>
      <c r="AD127" s="54"/>
      <c r="AG127" s="54"/>
      <c r="AH127" s="54"/>
      <c r="AI127" s="54"/>
    </row>
    <row r="128" spans="1:35" x14ac:dyDescent="0.2">
      <c r="R128" s="54"/>
      <c r="S128" s="54"/>
      <c r="T128" s="54"/>
      <c r="W128" s="54"/>
      <c r="X128" s="54"/>
      <c r="Y128" s="54"/>
      <c r="AB128" s="54"/>
      <c r="AC128" s="54"/>
      <c r="AD128" s="54"/>
      <c r="AG128" s="54"/>
      <c r="AH128" s="54"/>
      <c r="AI128" s="54"/>
    </row>
    <row r="129" spans="18:35" x14ac:dyDescent="0.2">
      <c r="R129" s="54"/>
      <c r="S129" s="54"/>
      <c r="T129" s="54"/>
      <c r="W129" s="54"/>
      <c r="X129" s="54"/>
      <c r="Y129" s="54"/>
      <c r="AB129" s="54"/>
      <c r="AC129" s="54"/>
      <c r="AD129" s="54"/>
      <c r="AG129" s="54"/>
      <c r="AH129" s="54"/>
      <c r="AI129" s="54"/>
    </row>
    <row r="130" spans="18:35" x14ac:dyDescent="0.2">
      <c r="R130" s="54"/>
      <c r="S130" s="54"/>
      <c r="T130" s="54"/>
      <c r="W130" s="54"/>
      <c r="X130" s="54"/>
      <c r="Y130" s="54"/>
      <c r="AB130" s="54"/>
      <c r="AC130" s="54"/>
      <c r="AD130" s="54"/>
      <c r="AG130" s="54"/>
      <c r="AH130" s="54"/>
      <c r="AI130" s="54"/>
    </row>
    <row r="131" spans="18:35" x14ac:dyDescent="0.2">
      <c r="R131" s="54"/>
      <c r="S131" s="54"/>
      <c r="T131" s="54"/>
      <c r="W131" s="54"/>
      <c r="X131" s="54"/>
      <c r="Y131" s="54"/>
      <c r="AB131" s="54"/>
      <c r="AC131" s="54"/>
      <c r="AD131" s="54"/>
      <c r="AG131" s="54"/>
      <c r="AH131" s="54"/>
      <c r="AI131" s="54"/>
    </row>
    <row r="132" spans="18:35" x14ac:dyDescent="0.2">
      <c r="R132" s="54"/>
      <c r="S132" s="54"/>
      <c r="T132" s="54"/>
      <c r="W132" s="54"/>
      <c r="X132" s="54"/>
      <c r="Y132" s="54"/>
      <c r="AB132" s="54"/>
      <c r="AC132" s="54"/>
      <c r="AD132" s="54"/>
      <c r="AG132" s="54"/>
      <c r="AH132" s="54"/>
      <c r="AI132" s="54"/>
    </row>
    <row r="133" spans="18:35" x14ac:dyDescent="0.2">
      <c r="R133" s="54"/>
      <c r="S133" s="54"/>
      <c r="T133" s="54"/>
      <c r="W133" s="54"/>
      <c r="X133" s="54"/>
      <c r="Y133" s="54"/>
      <c r="AB133" s="54"/>
      <c r="AC133" s="54"/>
      <c r="AD133" s="54"/>
      <c r="AG133" s="54"/>
      <c r="AH133" s="54"/>
      <c r="AI133" s="54"/>
    </row>
    <row r="134" spans="18:35" x14ac:dyDescent="0.2">
      <c r="R134" s="54"/>
      <c r="S134" s="54"/>
      <c r="T134" s="54"/>
      <c r="W134" s="54"/>
      <c r="X134" s="54"/>
      <c r="Y134" s="54"/>
      <c r="AB134" s="54"/>
      <c r="AC134" s="54"/>
      <c r="AD134" s="54"/>
      <c r="AG134" s="54"/>
      <c r="AH134" s="54"/>
      <c r="AI134" s="54"/>
    </row>
    <row r="135" spans="18:35" x14ac:dyDescent="0.2">
      <c r="R135" s="54"/>
      <c r="S135" s="54"/>
      <c r="T135" s="54"/>
      <c r="W135" s="54"/>
      <c r="X135" s="54"/>
      <c r="Y135" s="54"/>
      <c r="AB135" s="54"/>
      <c r="AC135" s="54"/>
      <c r="AD135" s="54"/>
      <c r="AG135" s="54"/>
      <c r="AH135" s="54"/>
      <c r="AI135" s="54"/>
    </row>
    <row r="136" spans="18:35" x14ac:dyDescent="0.2">
      <c r="R136" s="54"/>
      <c r="S136" s="54"/>
      <c r="T136" s="54"/>
      <c r="W136" s="54"/>
      <c r="X136" s="54"/>
      <c r="Y136" s="54"/>
      <c r="AB136" s="54"/>
      <c r="AC136" s="54"/>
      <c r="AD136" s="54"/>
      <c r="AG136" s="54"/>
      <c r="AH136" s="54"/>
      <c r="AI136" s="54"/>
    </row>
    <row r="137" spans="18:35" x14ac:dyDescent="0.2">
      <c r="R137" s="54"/>
      <c r="S137" s="54"/>
      <c r="T137" s="54"/>
      <c r="W137" s="54"/>
      <c r="X137" s="54"/>
      <c r="Y137" s="54"/>
      <c r="AB137" s="54"/>
      <c r="AC137" s="54"/>
      <c r="AD137" s="54"/>
      <c r="AG137" s="54"/>
      <c r="AH137" s="54"/>
      <c r="AI137" s="54"/>
    </row>
    <row r="138" spans="18:35" x14ac:dyDescent="0.2">
      <c r="R138" s="54"/>
      <c r="S138" s="54"/>
      <c r="T138" s="54"/>
      <c r="W138" s="54"/>
      <c r="X138" s="54"/>
      <c r="Y138" s="54"/>
      <c r="AB138" s="54"/>
      <c r="AC138" s="54"/>
      <c r="AD138" s="54"/>
      <c r="AG138" s="54"/>
      <c r="AH138" s="54"/>
      <c r="AI138" s="54"/>
    </row>
    <row r="139" spans="18:35" x14ac:dyDescent="0.2">
      <c r="R139" s="54"/>
      <c r="S139" s="54"/>
      <c r="T139" s="54"/>
      <c r="W139" s="54"/>
      <c r="X139" s="54"/>
      <c r="Y139" s="54"/>
      <c r="AB139" s="54"/>
      <c r="AC139" s="54"/>
      <c r="AD139" s="54"/>
      <c r="AG139" s="54"/>
      <c r="AH139" s="54"/>
      <c r="AI139" s="54"/>
    </row>
    <row r="140" spans="18:35" x14ac:dyDescent="0.2">
      <c r="R140" s="54"/>
      <c r="S140" s="54"/>
      <c r="T140" s="54"/>
      <c r="W140" s="54"/>
      <c r="X140" s="54"/>
      <c r="Y140" s="54"/>
      <c r="AB140" s="54"/>
      <c r="AC140" s="54"/>
      <c r="AD140" s="54"/>
      <c r="AG140" s="54"/>
      <c r="AH140" s="54"/>
      <c r="AI140" s="54"/>
    </row>
    <row r="141" spans="18:35" x14ac:dyDescent="0.2">
      <c r="R141" s="54"/>
      <c r="S141" s="54"/>
      <c r="T141" s="54"/>
      <c r="W141" s="54"/>
      <c r="X141" s="54"/>
      <c r="Y141" s="54"/>
      <c r="AB141" s="54"/>
      <c r="AC141" s="54"/>
      <c r="AD141" s="54"/>
      <c r="AG141" s="54"/>
      <c r="AH141" s="54"/>
      <c r="AI141" s="54"/>
    </row>
    <row r="142" spans="18:35" x14ac:dyDescent="0.2">
      <c r="R142" s="54"/>
      <c r="S142" s="54"/>
      <c r="T142" s="54"/>
      <c r="W142" s="54"/>
      <c r="X142" s="54"/>
      <c r="Y142" s="54"/>
      <c r="AB142" s="54"/>
      <c r="AC142" s="54"/>
      <c r="AD142" s="54"/>
      <c r="AG142" s="54"/>
      <c r="AH142" s="54"/>
      <c r="AI142" s="54"/>
    </row>
    <row r="143" spans="18:35" x14ac:dyDescent="0.2">
      <c r="R143" s="54"/>
      <c r="S143" s="54"/>
      <c r="T143" s="54"/>
      <c r="W143" s="54"/>
      <c r="X143" s="54"/>
      <c r="Y143" s="54"/>
      <c r="AB143" s="54"/>
      <c r="AC143" s="54"/>
      <c r="AD143" s="54"/>
      <c r="AG143" s="54"/>
      <c r="AH143" s="54"/>
      <c r="AI143" s="54"/>
    </row>
    <row r="144" spans="18:35" x14ac:dyDescent="0.2">
      <c r="R144" s="54"/>
      <c r="S144" s="54"/>
      <c r="T144" s="54"/>
      <c r="W144" s="54"/>
      <c r="X144" s="54"/>
      <c r="Y144" s="54"/>
      <c r="AB144" s="54"/>
      <c r="AC144" s="54"/>
      <c r="AD144" s="54"/>
      <c r="AG144" s="54"/>
      <c r="AH144" s="54"/>
      <c r="AI144" s="54"/>
    </row>
    <row r="145" spans="18:35" x14ac:dyDescent="0.2">
      <c r="R145" s="54"/>
      <c r="S145" s="54"/>
      <c r="T145" s="54"/>
      <c r="W145" s="54"/>
      <c r="X145" s="54"/>
      <c r="Y145" s="54"/>
      <c r="AB145" s="54"/>
      <c r="AC145" s="54"/>
      <c r="AD145" s="54"/>
      <c r="AG145" s="54"/>
      <c r="AH145" s="54"/>
      <c r="AI145" s="54"/>
    </row>
    <row r="146" spans="18:35" x14ac:dyDescent="0.2">
      <c r="R146" s="54"/>
      <c r="S146" s="54"/>
      <c r="T146" s="54"/>
      <c r="W146" s="54"/>
      <c r="X146" s="54"/>
      <c r="Y146" s="54"/>
      <c r="AB146" s="54"/>
      <c r="AC146" s="54"/>
      <c r="AD146" s="54"/>
      <c r="AG146" s="54"/>
      <c r="AH146" s="54"/>
      <c r="AI146" s="54"/>
    </row>
    <row r="147" spans="18:35" x14ac:dyDescent="0.2">
      <c r="R147" s="54"/>
      <c r="S147" s="54"/>
      <c r="T147" s="54"/>
      <c r="W147" s="54"/>
      <c r="X147" s="54"/>
      <c r="Y147" s="54"/>
      <c r="AB147" s="54"/>
      <c r="AC147" s="54"/>
      <c r="AD147" s="54"/>
      <c r="AG147" s="54"/>
      <c r="AH147" s="54"/>
      <c r="AI147" s="54"/>
    </row>
    <row r="148" spans="18:35" x14ac:dyDescent="0.2">
      <c r="R148" s="54"/>
      <c r="S148" s="54"/>
      <c r="T148" s="54"/>
      <c r="W148" s="54"/>
      <c r="X148" s="54"/>
      <c r="Y148" s="54"/>
      <c r="AB148" s="54"/>
      <c r="AC148" s="54"/>
      <c r="AD148" s="54"/>
      <c r="AG148" s="54"/>
      <c r="AH148" s="54"/>
      <c r="AI148" s="54"/>
    </row>
    <row r="149" spans="18:35" x14ac:dyDescent="0.2">
      <c r="R149" s="54"/>
      <c r="S149" s="54"/>
      <c r="T149" s="54"/>
      <c r="W149" s="54"/>
      <c r="X149" s="54"/>
      <c r="Y149" s="54"/>
      <c r="AB149" s="54"/>
      <c r="AC149" s="54"/>
      <c r="AD149" s="54"/>
      <c r="AG149" s="54"/>
      <c r="AH149" s="54"/>
      <c r="AI149" s="54"/>
    </row>
    <row r="150" spans="18:35" x14ac:dyDescent="0.2">
      <c r="R150" s="54"/>
      <c r="S150" s="54"/>
      <c r="T150" s="54"/>
      <c r="W150" s="54"/>
      <c r="X150" s="54"/>
      <c r="Y150" s="54"/>
      <c r="AB150" s="54"/>
      <c r="AC150" s="54"/>
      <c r="AD150" s="54"/>
      <c r="AG150" s="54"/>
      <c r="AH150" s="54"/>
      <c r="AI150" s="54"/>
    </row>
    <row r="151" spans="18:35" x14ac:dyDescent="0.2">
      <c r="R151" s="54"/>
      <c r="S151" s="54"/>
      <c r="T151" s="54"/>
      <c r="W151" s="54"/>
      <c r="X151" s="54"/>
      <c r="Y151" s="54"/>
      <c r="AB151" s="54"/>
      <c r="AC151" s="54"/>
      <c r="AD151" s="54"/>
      <c r="AG151" s="54"/>
      <c r="AH151" s="54"/>
      <c r="AI151" s="54"/>
    </row>
    <row r="152" spans="18:35" x14ac:dyDescent="0.2">
      <c r="R152" s="54"/>
      <c r="S152" s="54"/>
      <c r="T152" s="54"/>
      <c r="W152" s="54"/>
      <c r="X152" s="54"/>
      <c r="Y152" s="54"/>
      <c r="AB152" s="54"/>
      <c r="AC152" s="54"/>
      <c r="AD152" s="54"/>
      <c r="AG152" s="54"/>
      <c r="AH152" s="54"/>
      <c r="AI152" s="54"/>
    </row>
    <row r="153" spans="18:35" x14ac:dyDescent="0.2">
      <c r="R153" s="54"/>
      <c r="S153" s="54"/>
      <c r="T153" s="54"/>
      <c r="W153" s="54"/>
      <c r="X153" s="54"/>
      <c r="Y153" s="54"/>
      <c r="AB153" s="54"/>
      <c r="AC153" s="54"/>
      <c r="AD153" s="54"/>
      <c r="AG153" s="54"/>
      <c r="AH153" s="54"/>
      <c r="AI153" s="54"/>
    </row>
    <row r="154" spans="18:35" x14ac:dyDescent="0.2">
      <c r="R154" s="54"/>
      <c r="S154" s="54"/>
      <c r="T154" s="54"/>
      <c r="W154" s="54"/>
      <c r="X154" s="54"/>
      <c r="Y154" s="54"/>
      <c r="AB154" s="54"/>
      <c r="AC154" s="54"/>
      <c r="AD154" s="54"/>
      <c r="AG154" s="54"/>
      <c r="AH154" s="54"/>
      <c r="AI154" s="54"/>
    </row>
    <row r="155" spans="18:35" x14ac:dyDescent="0.2">
      <c r="R155" s="54"/>
      <c r="S155" s="54"/>
      <c r="T155" s="54"/>
      <c r="W155" s="54"/>
      <c r="X155" s="54"/>
      <c r="Y155" s="54"/>
      <c r="AB155" s="54"/>
      <c r="AC155" s="54"/>
      <c r="AD155" s="54"/>
      <c r="AG155" s="54"/>
      <c r="AH155" s="54"/>
      <c r="AI155" s="54"/>
    </row>
    <row r="156" spans="18:35" x14ac:dyDescent="0.2">
      <c r="R156" s="54"/>
      <c r="S156" s="54"/>
      <c r="T156" s="54"/>
      <c r="W156" s="54"/>
      <c r="X156" s="54"/>
      <c r="Y156" s="54"/>
      <c r="AB156" s="54"/>
      <c r="AC156" s="54"/>
      <c r="AD156" s="54"/>
      <c r="AG156" s="54"/>
      <c r="AH156" s="54"/>
      <c r="AI156" s="54"/>
    </row>
    <row r="157" spans="18:35" x14ac:dyDescent="0.2">
      <c r="R157" s="54"/>
      <c r="S157" s="54"/>
      <c r="T157" s="54"/>
      <c r="W157" s="54"/>
      <c r="X157" s="54"/>
      <c r="Y157" s="54"/>
      <c r="AB157" s="54"/>
      <c r="AC157" s="54"/>
      <c r="AD157" s="54"/>
      <c r="AG157" s="54"/>
      <c r="AH157" s="54"/>
      <c r="AI157" s="54"/>
    </row>
    <row r="158" spans="18:35" x14ac:dyDescent="0.2">
      <c r="R158" s="54"/>
      <c r="S158" s="54"/>
      <c r="T158" s="54"/>
      <c r="W158" s="54"/>
      <c r="X158" s="54"/>
      <c r="Y158" s="54"/>
      <c r="AB158" s="54"/>
      <c r="AC158" s="54"/>
      <c r="AD158" s="54"/>
      <c r="AG158" s="54"/>
      <c r="AH158" s="54"/>
      <c r="AI158" s="54"/>
    </row>
    <row r="159" spans="18:35" x14ac:dyDescent="0.2">
      <c r="R159" s="54"/>
      <c r="S159" s="54"/>
      <c r="T159" s="54"/>
      <c r="W159" s="54"/>
      <c r="X159" s="54"/>
      <c r="Y159" s="54"/>
      <c r="AB159" s="54"/>
      <c r="AC159" s="54"/>
      <c r="AD159" s="54"/>
      <c r="AG159" s="54"/>
      <c r="AH159" s="54"/>
      <c r="AI159" s="54"/>
    </row>
    <row r="160" spans="18:35" x14ac:dyDescent="0.2">
      <c r="R160" s="54"/>
      <c r="S160" s="54"/>
      <c r="T160" s="54"/>
      <c r="W160" s="54"/>
      <c r="X160" s="54"/>
      <c r="Y160" s="54"/>
      <c r="AB160" s="54"/>
      <c r="AC160" s="54"/>
      <c r="AD160" s="54"/>
      <c r="AG160" s="54"/>
      <c r="AH160" s="54"/>
      <c r="AI160" s="54"/>
    </row>
    <row r="161" spans="18:35" x14ac:dyDescent="0.2">
      <c r="R161" s="54"/>
      <c r="S161" s="54"/>
      <c r="T161" s="54"/>
      <c r="W161" s="54"/>
      <c r="X161" s="54"/>
      <c r="Y161" s="54"/>
      <c r="AB161" s="54"/>
      <c r="AC161" s="54"/>
      <c r="AD161" s="54"/>
      <c r="AG161" s="54"/>
      <c r="AH161" s="54"/>
      <c r="AI161" s="54"/>
    </row>
    <row r="162" spans="18:35" x14ac:dyDescent="0.2">
      <c r="R162" s="54"/>
      <c r="S162" s="54"/>
      <c r="T162" s="54"/>
      <c r="W162" s="54"/>
      <c r="X162" s="54"/>
      <c r="Y162" s="54"/>
      <c r="AB162" s="54"/>
      <c r="AC162" s="54"/>
      <c r="AD162" s="54"/>
      <c r="AG162" s="54"/>
      <c r="AH162" s="54"/>
      <c r="AI162" s="54"/>
    </row>
    <row r="163" spans="18:35" x14ac:dyDescent="0.2">
      <c r="R163" s="54"/>
      <c r="S163" s="54"/>
      <c r="T163" s="54"/>
      <c r="W163" s="54"/>
      <c r="X163" s="54"/>
      <c r="Y163" s="54"/>
      <c r="AB163" s="54"/>
      <c r="AC163" s="54"/>
      <c r="AD163" s="54"/>
      <c r="AG163" s="54"/>
      <c r="AH163" s="54"/>
      <c r="AI163" s="54"/>
    </row>
    <row r="164" spans="18:35" x14ac:dyDescent="0.2">
      <c r="R164" s="54"/>
      <c r="S164" s="54"/>
      <c r="T164" s="54"/>
      <c r="W164" s="54"/>
      <c r="X164" s="54"/>
      <c r="Y164" s="54"/>
      <c r="AB164" s="54"/>
      <c r="AC164" s="54"/>
      <c r="AD164" s="54"/>
      <c r="AG164" s="54"/>
      <c r="AH164" s="54"/>
      <c r="AI164" s="54"/>
    </row>
    <row r="165" spans="18:35" x14ac:dyDescent="0.2">
      <c r="R165" s="54"/>
      <c r="S165" s="54"/>
      <c r="T165" s="54"/>
      <c r="W165" s="54"/>
      <c r="X165" s="54"/>
      <c r="Y165" s="54"/>
      <c r="AB165" s="54"/>
      <c r="AC165" s="54"/>
      <c r="AD165" s="54"/>
      <c r="AG165" s="54"/>
      <c r="AH165" s="54"/>
      <c r="AI165" s="54"/>
    </row>
    <row r="166" spans="18:35" x14ac:dyDescent="0.2">
      <c r="R166" s="54"/>
      <c r="S166" s="54"/>
      <c r="T166" s="54"/>
      <c r="W166" s="54"/>
      <c r="X166" s="54"/>
      <c r="Y166" s="54"/>
      <c r="AB166" s="54"/>
      <c r="AC166" s="54"/>
      <c r="AD166" s="54"/>
      <c r="AG166" s="54"/>
      <c r="AH166" s="54"/>
      <c r="AI166" s="54"/>
    </row>
    <row r="167" spans="18:35" x14ac:dyDescent="0.2">
      <c r="R167" s="54"/>
      <c r="S167" s="54"/>
      <c r="T167" s="54"/>
      <c r="W167" s="54"/>
      <c r="X167" s="54"/>
      <c r="Y167" s="54"/>
      <c r="AB167" s="54"/>
      <c r="AC167" s="54"/>
      <c r="AD167" s="54"/>
      <c r="AG167" s="54"/>
      <c r="AH167" s="54"/>
      <c r="AI167" s="54"/>
    </row>
    <row r="168" spans="18:35" x14ac:dyDescent="0.2">
      <c r="R168" s="54"/>
      <c r="S168" s="54"/>
      <c r="T168" s="54"/>
      <c r="W168" s="54"/>
      <c r="X168" s="54"/>
      <c r="Y168" s="54"/>
      <c r="AB168" s="54"/>
      <c r="AC168" s="54"/>
      <c r="AD168" s="54"/>
      <c r="AG168" s="54"/>
      <c r="AH168" s="54"/>
      <c r="AI168" s="54"/>
    </row>
    <row r="169" spans="18:35" x14ac:dyDescent="0.2">
      <c r="R169" s="54"/>
      <c r="S169" s="54"/>
      <c r="T169" s="54"/>
      <c r="W169" s="54"/>
      <c r="X169" s="54"/>
      <c r="Y169" s="54"/>
      <c r="AB169" s="54"/>
      <c r="AC169" s="54"/>
      <c r="AD169" s="54"/>
      <c r="AG169" s="54"/>
      <c r="AH169" s="54"/>
      <c r="AI169" s="54"/>
    </row>
    <row r="170" spans="18:35" x14ac:dyDescent="0.2">
      <c r="R170" s="54"/>
      <c r="S170" s="54"/>
      <c r="T170" s="54"/>
      <c r="W170" s="54"/>
      <c r="X170" s="54"/>
      <c r="Y170" s="54"/>
      <c r="AB170" s="54"/>
      <c r="AC170" s="54"/>
      <c r="AD170" s="54"/>
      <c r="AG170" s="54"/>
      <c r="AH170" s="54"/>
      <c r="AI170" s="54"/>
    </row>
    <row r="171" spans="18:35" x14ac:dyDescent="0.2">
      <c r="R171" s="54"/>
      <c r="S171" s="54"/>
      <c r="T171" s="54"/>
      <c r="W171" s="54"/>
      <c r="X171" s="54"/>
      <c r="Y171" s="54"/>
      <c r="AB171" s="54"/>
      <c r="AC171" s="54"/>
      <c r="AD171" s="54"/>
      <c r="AG171" s="54"/>
      <c r="AH171" s="54"/>
      <c r="AI171" s="54"/>
    </row>
    <row r="172" spans="18:35" x14ac:dyDescent="0.2">
      <c r="R172" s="54"/>
      <c r="S172" s="54"/>
      <c r="T172" s="54"/>
      <c r="W172" s="54"/>
      <c r="X172" s="54"/>
      <c r="Y172" s="54"/>
      <c r="AB172" s="54"/>
      <c r="AC172" s="54"/>
      <c r="AD172" s="54"/>
      <c r="AG172" s="54"/>
      <c r="AH172" s="54"/>
      <c r="AI172" s="54"/>
    </row>
    <row r="173" spans="18:35" x14ac:dyDescent="0.2">
      <c r="R173" s="54"/>
      <c r="S173" s="54"/>
      <c r="T173" s="54"/>
      <c r="W173" s="54"/>
      <c r="X173" s="54"/>
      <c r="Y173" s="54"/>
      <c r="AB173" s="54"/>
      <c r="AC173" s="54"/>
      <c r="AD173" s="54"/>
      <c r="AG173" s="54"/>
      <c r="AH173" s="54"/>
      <c r="AI173" s="54"/>
    </row>
    <row r="174" spans="18:35" x14ac:dyDescent="0.2">
      <c r="R174" s="54"/>
      <c r="S174" s="54"/>
      <c r="T174" s="54"/>
      <c r="W174" s="54"/>
      <c r="X174" s="54"/>
      <c r="Y174" s="54"/>
      <c r="AB174" s="54"/>
      <c r="AC174" s="54"/>
      <c r="AD174" s="54"/>
      <c r="AG174" s="54"/>
      <c r="AH174" s="54"/>
      <c r="AI174" s="54"/>
    </row>
    <row r="175" spans="18:35" x14ac:dyDescent="0.2">
      <c r="R175" s="54"/>
      <c r="S175" s="54"/>
      <c r="T175" s="54"/>
      <c r="W175" s="54"/>
      <c r="X175" s="54"/>
      <c r="Y175" s="54"/>
      <c r="AB175" s="54"/>
      <c r="AC175" s="54"/>
      <c r="AD175" s="54"/>
      <c r="AG175" s="54"/>
      <c r="AH175" s="54"/>
      <c r="AI175" s="54"/>
    </row>
    <row r="176" spans="18:35" x14ac:dyDescent="0.2">
      <c r="R176" s="54"/>
      <c r="S176" s="54"/>
      <c r="T176" s="54"/>
      <c r="W176" s="54"/>
      <c r="X176" s="54"/>
      <c r="Y176" s="54"/>
      <c r="AB176" s="54"/>
      <c r="AC176" s="54"/>
      <c r="AD176" s="54"/>
      <c r="AG176" s="54"/>
      <c r="AH176" s="54"/>
      <c r="AI176" s="54"/>
    </row>
    <row r="177" spans="18:35" x14ac:dyDescent="0.2">
      <c r="R177" s="54"/>
      <c r="S177" s="54"/>
      <c r="T177" s="54"/>
      <c r="W177" s="54"/>
      <c r="X177" s="54"/>
      <c r="Y177" s="54"/>
      <c r="AB177" s="54"/>
      <c r="AC177" s="54"/>
      <c r="AD177" s="54"/>
      <c r="AG177" s="54"/>
      <c r="AH177" s="54"/>
      <c r="AI177" s="54"/>
    </row>
    <row r="178" spans="18:35" x14ac:dyDescent="0.2">
      <c r="R178" s="54"/>
      <c r="S178" s="54"/>
      <c r="T178" s="54"/>
      <c r="W178" s="54"/>
      <c r="X178" s="54"/>
      <c r="Y178" s="54"/>
      <c r="AB178" s="54"/>
      <c r="AC178" s="54"/>
      <c r="AD178" s="54"/>
      <c r="AG178" s="54"/>
      <c r="AH178" s="54"/>
      <c r="AI178" s="54"/>
    </row>
    <row r="179" spans="18:35" x14ac:dyDescent="0.2">
      <c r="R179" s="54"/>
      <c r="S179" s="54"/>
      <c r="T179" s="54"/>
      <c r="W179" s="54"/>
      <c r="X179" s="54"/>
      <c r="Y179" s="54"/>
      <c r="AB179" s="54"/>
      <c r="AC179" s="54"/>
      <c r="AD179" s="54"/>
      <c r="AG179" s="54"/>
      <c r="AH179" s="54"/>
      <c r="AI179" s="54"/>
    </row>
    <row r="180" spans="18:35" x14ac:dyDescent="0.2">
      <c r="R180" s="54"/>
      <c r="S180" s="54"/>
      <c r="T180" s="54"/>
      <c r="W180" s="54"/>
      <c r="X180" s="54"/>
      <c r="Y180" s="54"/>
      <c r="AB180" s="54"/>
      <c r="AC180" s="54"/>
      <c r="AD180" s="54"/>
      <c r="AG180" s="54"/>
      <c r="AH180" s="54"/>
      <c r="AI180" s="54"/>
    </row>
    <row r="181" spans="18:35" x14ac:dyDescent="0.2">
      <c r="R181" s="54"/>
      <c r="S181" s="54"/>
      <c r="T181" s="54"/>
      <c r="W181" s="54"/>
      <c r="X181" s="54"/>
      <c r="Y181" s="54"/>
      <c r="AB181" s="54"/>
      <c r="AC181" s="54"/>
      <c r="AD181" s="54"/>
      <c r="AG181" s="54"/>
      <c r="AH181" s="54"/>
      <c r="AI181" s="54"/>
    </row>
    <row r="182" spans="18:35" x14ac:dyDescent="0.2">
      <c r="R182" s="54"/>
      <c r="S182" s="54"/>
      <c r="T182" s="54"/>
      <c r="W182" s="54"/>
      <c r="X182" s="54"/>
      <c r="Y182" s="54"/>
      <c r="AB182" s="54"/>
      <c r="AC182" s="54"/>
      <c r="AD182" s="54"/>
      <c r="AG182" s="54"/>
      <c r="AH182" s="54"/>
      <c r="AI182" s="54"/>
    </row>
    <row r="183" spans="18:35" x14ac:dyDescent="0.2">
      <c r="R183" s="54"/>
      <c r="S183" s="54"/>
      <c r="T183" s="54"/>
      <c r="W183" s="54"/>
      <c r="X183" s="54"/>
      <c r="Y183" s="54"/>
      <c r="AB183" s="54"/>
      <c r="AC183" s="54"/>
      <c r="AD183" s="54"/>
      <c r="AG183" s="54"/>
      <c r="AH183" s="54"/>
      <c r="AI183" s="54"/>
    </row>
    <row r="184" spans="18:35" x14ac:dyDescent="0.2">
      <c r="R184" s="54"/>
      <c r="S184" s="54"/>
      <c r="T184" s="54"/>
      <c r="W184" s="54"/>
      <c r="X184" s="54"/>
      <c r="Y184" s="54"/>
      <c r="AB184" s="54"/>
      <c r="AC184" s="54"/>
      <c r="AD184" s="54"/>
      <c r="AG184" s="54"/>
      <c r="AH184" s="54"/>
      <c r="AI184" s="54"/>
    </row>
    <row r="185" spans="18:35" x14ac:dyDescent="0.2">
      <c r="R185" s="54"/>
      <c r="S185" s="54"/>
      <c r="T185" s="54"/>
      <c r="W185" s="54"/>
      <c r="X185" s="54"/>
      <c r="Y185" s="54"/>
      <c r="AB185" s="54"/>
      <c r="AC185" s="54"/>
      <c r="AD185" s="54"/>
      <c r="AG185" s="54"/>
      <c r="AH185" s="54"/>
      <c r="AI185" s="54"/>
    </row>
    <row r="186" spans="18:35" x14ac:dyDescent="0.2">
      <c r="R186" s="54"/>
      <c r="S186" s="54"/>
      <c r="T186" s="54"/>
      <c r="W186" s="54"/>
      <c r="X186" s="54"/>
      <c r="Y186" s="54"/>
      <c r="AB186" s="54"/>
      <c r="AC186" s="54"/>
      <c r="AD186" s="54"/>
      <c r="AG186" s="54"/>
      <c r="AH186" s="54"/>
      <c r="AI186" s="54"/>
    </row>
    <row r="187" spans="18:35" x14ac:dyDescent="0.2">
      <c r="R187" s="54"/>
      <c r="S187" s="54"/>
      <c r="T187" s="54"/>
      <c r="W187" s="54"/>
      <c r="X187" s="54"/>
      <c r="Y187" s="54"/>
      <c r="AB187" s="54"/>
      <c r="AC187" s="54"/>
      <c r="AD187" s="54"/>
      <c r="AG187" s="54"/>
      <c r="AH187" s="54"/>
      <c r="AI187" s="54"/>
    </row>
    <row r="188" spans="18:35" x14ac:dyDescent="0.2">
      <c r="R188" s="54"/>
      <c r="S188" s="54"/>
      <c r="T188" s="54"/>
      <c r="W188" s="54"/>
      <c r="X188" s="54"/>
      <c r="Y188" s="54"/>
      <c r="AB188" s="54"/>
      <c r="AC188" s="54"/>
      <c r="AD188" s="54"/>
      <c r="AG188" s="54"/>
      <c r="AH188" s="54"/>
      <c r="AI188" s="54"/>
    </row>
    <row r="189" spans="18:35" x14ac:dyDescent="0.2">
      <c r="R189" s="54"/>
      <c r="S189" s="54"/>
      <c r="T189" s="54"/>
      <c r="W189" s="54"/>
      <c r="X189" s="54"/>
      <c r="Y189" s="54"/>
      <c r="AB189" s="54"/>
      <c r="AC189" s="54"/>
      <c r="AD189" s="54"/>
      <c r="AG189" s="54"/>
      <c r="AH189" s="54"/>
      <c r="AI189" s="54"/>
    </row>
    <row r="190" spans="18:35" x14ac:dyDescent="0.2">
      <c r="R190" s="54"/>
      <c r="S190" s="54"/>
      <c r="T190" s="54"/>
      <c r="W190" s="54"/>
      <c r="X190" s="54"/>
      <c r="Y190" s="54"/>
      <c r="AB190" s="54"/>
      <c r="AC190" s="54"/>
      <c r="AD190" s="54"/>
      <c r="AG190" s="54"/>
      <c r="AH190" s="54"/>
      <c r="AI190" s="54"/>
    </row>
    <row r="191" spans="18:35" x14ac:dyDescent="0.2">
      <c r="R191" s="54"/>
      <c r="S191" s="54"/>
      <c r="T191" s="54"/>
      <c r="W191" s="54"/>
      <c r="X191" s="54"/>
      <c r="Y191" s="54"/>
      <c r="AB191" s="54"/>
      <c r="AC191" s="54"/>
      <c r="AD191" s="54"/>
      <c r="AG191" s="54"/>
      <c r="AH191" s="54"/>
      <c r="AI191" s="54"/>
    </row>
    <row r="192" spans="18:35" x14ac:dyDescent="0.2">
      <c r="R192" s="54"/>
      <c r="S192" s="54"/>
      <c r="T192" s="54"/>
      <c r="W192" s="54"/>
      <c r="X192" s="54"/>
      <c r="Y192" s="54"/>
      <c r="AB192" s="54"/>
      <c r="AC192" s="54"/>
      <c r="AD192" s="54"/>
      <c r="AG192" s="54"/>
      <c r="AH192" s="54"/>
      <c r="AI192" s="54"/>
    </row>
    <row r="193" spans="18:35" x14ac:dyDescent="0.2">
      <c r="R193" s="54"/>
      <c r="S193" s="54"/>
      <c r="T193" s="54"/>
      <c r="W193" s="54"/>
      <c r="X193" s="54"/>
      <c r="Y193" s="54"/>
      <c r="AB193" s="54"/>
      <c r="AC193" s="54"/>
      <c r="AD193" s="54"/>
      <c r="AG193" s="54"/>
      <c r="AH193" s="54"/>
      <c r="AI193" s="54"/>
    </row>
    <row r="194" spans="18:35" x14ac:dyDescent="0.2">
      <c r="R194" s="54"/>
      <c r="S194" s="54"/>
      <c r="T194" s="54"/>
      <c r="W194" s="54"/>
      <c r="X194" s="54"/>
      <c r="Y194" s="54"/>
      <c r="AB194" s="54"/>
      <c r="AC194" s="54"/>
      <c r="AD194" s="54"/>
      <c r="AG194" s="54"/>
      <c r="AH194" s="54"/>
      <c r="AI194" s="54"/>
    </row>
    <row r="195" spans="18:35" x14ac:dyDescent="0.2">
      <c r="R195" s="54"/>
      <c r="S195" s="54"/>
      <c r="T195" s="54"/>
      <c r="W195" s="54"/>
      <c r="X195" s="54"/>
      <c r="Y195" s="54"/>
      <c r="AB195" s="54"/>
      <c r="AC195" s="54"/>
      <c r="AD195" s="54"/>
      <c r="AG195" s="54"/>
      <c r="AH195" s="54"/>
      <c r="AI195" s="54"/>
    </row>
    <row r="196" spans="18:35" x14ac:dyDescent="0.2">
      <c r="R196" s="54"/>
      <c r="S196" s="54"/>
      <c r="T196" s="54"/>
      <c r="W196" s="54"/>
      <c r="X196" s="54"/>
      <c r="Y196" s="54"/>
      <c r="AB196" s="54"/>
      <c r="AC196" s="54"/>
      <c r="AD196" s="54"/>
      <c r="AG196" s="54"/>
      <c r="AH196" s="54"/>
      <c r="AI196" s="54"/>
    </row>
    <row r="197" spans="18:35" x14ac:dyDescent="0.2">
      <c r="R197" s="54"/>
      <c r="S197" s="54"/>
      <c r="T197" s="54"/>
      <c r="W197" s="54"/>
      <c r="X197" s="54"/>
      <c r="Y197" s="54"/>
      <c r="AB197" s="54"/>
      <c r="AC197" s="54"/>
      <c r="AD197" s="54"/>
      <c r="AG197" s="54"/>
      <c r="AH197" s="54"/>
      <c r="AI197" s="54"/>
    </row>
    <row r="198" spans="18:35" x14ac:dyDescent="0.2">
      <c r="R198" s="54"/>
      <c r="S198" s="54"/>
      <c r="T198" s="54"/>
      <c r="W198" s="54"/>
      <c r="X198" s="54"/>
      <c r="Y198" s="54"/>
      <c r="AB198" s="54"/>
      <c r="AC198" s="54"/>
      <c r="AD198" s="54"/>
      <c r="AG198" s="54"/>
      <c r="AH198" s="54"/>
      <c r="AI198" s="54"/>
    </row>
    <row r="199" spans="18:35" x14ac:dyDescent="0.2">
      <c r="R199" s="54"/>
      <c r="S199" s="54"/>
      <c r="T199" s="54"/>
      <c r="W199" s="54"/>
      <c r="X199" s="54"/>
      <c r="Y199" s="54"/>
      <c r="AB199" s="54"/>
      <c r="AC199" s="54"/>
      <c r="AD199" s="54"/>
      <c r="AG199" s="54"/>
      <c r="AH199" s="54"/>
      <c r="AI199" s="54"/>
    </row>
    <row r="200" spans="18:35" x14ac:dyDescent="0.2">
      <c r="R200" s="54"/>
      <c r="S200" s="54"/>
      <c r="T200" s="54"/>
      <c r="W200" s="54"/>
      <c r="X200" s="54"/>
      <c r="Y200" s="54"/>
      <c r="AB200" s="54"/>
      <c r="AC200" s="54"/>
      <c r="AD200" s="54"/>
      <c r="AG200" s="54"/>
      <c r="AH200" s="54"/>
      <c r="AI200" s="54"/>
    </row>
    <row r="201" spans="18:35" x14ac:dyDescent="0.2">
      <c r="R201" s="54"/>
      <c r="S201" s="54"/>
      <c r="T201" s="54"/>
      <c r="W201" s="54"/>
      <c r="X201" s="54"/>
      <c r="Y201" s="54"/>
      <c r="AB201" s="54"/>
      <c r="AC201" s="54"/>
      <c r="AD201" s="54"/>
      <c r="AG201" s="54"/>
      <c r="AH201" s="54"/>
      <c r="AI201" s="54"/>
    </row>
    <row r="202" spans="18:35" x14ac:dyDescent="0.2">
      <c r="R202" s="54"/>
      <c r="S202" s="54"/>
      <c r="T202" s="54"/>
      <c r="W202" s="54"/>
      <c r="X202" s="54"/>
      <c r="Y202" s="54"/>
      <c r="AB202" s="54"/>
      <c r="AC202" s="54"/>
      <c r="AD202" s="54"/>
      <c r="AG202" s="54"/>
      <c r="AH202" s="54"/>
      <c r="AI202" s="54"/>
    </row>
    <row r="203" spans="18:35" x14ac:dyDescent="0.2">
      <c r="R203" s="54"/>
      <c r="S203" s="54"/>
      <c r="T203" s="54"/>
      <c r="W203" s="54"/>
      <c r="X203" s="54"/>
      <c r="Y203" s="54"/>
      <c r="AB203" s="54"/>
      <c r="AC203" s="54"/>
      <c r="AD203" s="54"/>
      <c r="AG203" s="54"/>
      <c r="AH203" s="54"/>
      <c r="AI203" s="54"/>
    </row>
    <row r="204" spans="18:35" x14ac:dyDescent="0.2">
      <c r="R204" s="54"/>
      <c r="S204" s="54"/>
      <c r="T204" s="54"/>
      <c r="W204" s="54"/>
      <c r="X204" s="54"/>
      <c r="Y204" s="54"/>
      <c r="AB204" s="54"/>
      <c r="AC204" s="54"/>
      <c r="AD204" s="54"/>
      <c r="AG204" s="54"/>
      <c r="AH204" s="54"/>
      <c r="AI204" s="54"/>
    </row>
    <row r="205" spans="18:35" x14ac:dyDescent="0.2">
      <c r="R205" s="54"/>
      <c r="S205" s="54"/>
      <c r="T205" s="54"/>
      <c r="W205" s="54"/>
      <c r="X205" s="54"/>
      <c r="Y205" s="54"/>
      <c r="AB205" s="54"/>
      <c r="AC205" s="54"/>
      <c r="AD205" s="54"/>
      <c r="AG205" s="54"/>
      <c r="AH205" s="54"/>
      <c r="AI205" s="54"/>
    </row>
    <row r="206" spans="18:35" x14ac:dyDescent="0.2">
      <c r="R206" s="54"/>
      <c r="S206" s="54"/>
      <c r="T206" s="54"/>
      <c r="W206" s="54"/>
      <c r="X206" s="54"/>
      <c r="Y206" s="54"/>
      <c r="AB206" s="54"/>
      <c r="AC206" s="54"/>
      <c r="AD206" s="54"/>
      <c r="AG206" s="54"/>
      <c r="AH206" s="54"/>
      <c r="AI206" s="54"/>
    </row>
    <row r="207" spans="18:35" x14ac:dyDescent="0.2">
      <c r="R207" s="54"/>
      <c r="S207" s="54"/>
      <c r="T207" s="54"/>
      <c r="W207" s="54"/>
      <c r="X207" s="54"/>
      <c r="Y207" s="54"/>
      <c r="AB207" s="54"/>
      <c r="AC207" s="54"/>
      <c r="AD207" s="54"/>
      <c r="AG207" s="54"/>
      <c r="AH207" s="54"/>
      <c r="AI207" s="54"/>
    </row>
    <row r="208" spans="18:35" x14ac:dyDescent="0.2">
      <c r="R208" s="54"/>
      <c r="S208" s="54"/>
      <c r="T208" s="54"/>
      <c r="W208" s="54"/>
      <c r="X208" s="54"/>
      <c r="Y208" s="54"/>
      <c r="AB208" s="54"/>
      <c r="AC208" s="54"/>
      <c r="AD208" s="54"/>
      <c r="AG208" s="54"/>
      <c r="AH208" s="54"/>
      <c r="AI208" s="54"/>
    </row>
    <row r="209" spans="18:35" x14ac:dyDescent="0.2">
      <c r="R209" s="54"/>
      <c r="S209" s="54"/>
      <c r="T209" s="54"/>
      <c r="W209" s="54"/>
      <c r="X209" s="54"/>
      <c r="Y209" s="54"/>
      <c r="AB209" s="54"/>
      <c r="AC209" s="54"/>
      <c r="AD209" s="54"/>
      <c r="AG209" s="54"/>
      <c r="AH209" s="54"/>
      <c r="AI209" s="54"/>
    </row>
    <row r="210" spans="18:35" x14ac:dyDescent="0.2">
      <c r="R210" s="54"/>
      <c r="S210" s="54"/>
      <c r="T210" s="54"/>
      <c r="W210" s="54"/>
      <c r="X210" s="54"/>
      <c r="Y210" s="54"/>
      <c r="AB210" s="54"/>
      <c r="AC210" s="54"/>
      <c r="AD210" s="54"/>
      <c r="AG210" s="54"/>
      <c r="AH210" s="54"/>
      <c r="AI210" s="54"/>
    </row>
    <row r="211" spans="18:35" x14ac:dyDescent="0.2">
      <c r="R211" s="54"/>
      <c r="S211" s="54"/>
      <c r="T211" s="54"/>
      <c r="W211" s="54"/>
      <c r="X211" s="54"/>
      <c r="Y211" s="54"/>
      <c r="AB211" s="54"/>
      <c r="AC211" s="54"/>
      <c r="AD211" s="54"/>
      <c r="AG211" s="54"/>
      <c r="AH211" s="54"/>
      <c r="AI211" s="54"/>
    </row>
    <row r="212" spans="18:35" x14ac:dyDescent="0.2">
      <c r="R212" s="54"/>
      <c r="S212" s="54"/>
      <c r="T212" s="54"/>
      <c r="W212" s="54"/>
      <c r="X212" s="54"/>
      <c r="Y212" s="54"/>
      <c r="AB212" s="54"/>
      <c r="AC212" s="54"/>
      <c r="AD212" s="54"/>
      <c r="AG212" s="54"/>
      <c r="AH212" s="54"/>
      <c r="AI212" s="54"/>
    </row>
    <row r="213" spans="18:35" x14ac:dyDescent="0.2">
      <c r="R213" s="54"/>
      <c r="S213" s="54"/>
      <c r="T213" s="54"/>
      <c r="W213" s="54"/>
      <c r="X213" s="54"/>
      <c r="Y213" s="54"/>
      <c r="AB213" s="54"/>
      <c r="AC213" s="54"/>
      <c r="AD213" s="54"/>
      <c r="AG213" s="54"/>
      <c r="AH213" s="54"/>
      <c r="AI213" s="54"/>
    </row>
    <row r="214" spans="18:35" x14ac:dyDescent="0.2">
      <c r="R214" s="54"/>
      <c r="S214" s="54"/>
      <c r="T214" s="54"/>
      <c r="W214" s="54"/>
      <c r="X214" s="54"/>
      <c r="Y214" s="54"/>
      <c r="AB214" s="54"/>
      <c r="AC214" s="54"/>
      <c r="AD214" s="54"/>
      <c r="AG214" s="54"/>
      <c r="AH214" s="54"/>
      <c r="AI214" s="54"/>
    </row>
    <row r="215" spans="18:35" x14ac:dyDescent="0.2">
      <c r="R215" s="54"/>
      <c r="S215" s="54"/>
      <c r="T215" s="54"/>
      <c r="W215" s="54"/>
      <c r="X215" s="54"/>
      <c r="Y215" s="54"/>
      <c r="AB215" s="54"/>
      <c r="AC215" s="54"/>
      <c r="AD215" s="54"/>
      <c r="AG215" s="54"/>
      <c r="AH215" s="54"/>
      <c r="AI215" s="54"/>
    </row>
    <row r="216" spans="18:35" x14ac:dyDescent="0.2">
      <c r="R216" s="54"/>
      <c r="S216" s="54"/>
      <c r="T216" s="54"/>
      <c r="W216" s="54"/>
      <c r="X216" s="54"/>
      <c r="Y216" s="54"/>
      <c r="AB216" s="54"/>
      <c r="AC216" s="54"/>
      <c r="AD216" s="54"/>
      <c r="AG216" s="54"/>
      <c r="AH216" s="54"/>
      <c r="AI216" s="54"/>
    </row>
    <row r="217" spans="18:35" x14ac:dyDescent="0.2">
      <c r="R217" s="54"/>
      <c r="S217" s="54"/>
      <c r="T217" s="54"/>
      <c r="W217" s="54"/>
      <c r="X217" s="54"/>
      <c r="Y217" s="54"/>
      <c r="AB217" s="54"/>
      <c r="AC217" s="54"/>
      <c r="AD217" s="54"/>
      <c r="AG217" s="54"/>
      <c r="AH217" s="54"/>
      <c r="AI217" s="54"/>
    </row>
    <row r="218" spans="18:35" x14ac:dyDescent="0.2">
      <c r="R218" s="54"/>
      <c r="S218" s="54"/>
      <c r="T218" s="54"/>
      <c r="W218" s="54"/>
      <c r="X218" s="54"/>
      <c r="Y218" s="54"/>
      <c r="AB218" s="54"/>
      <c r="AC218" s="54"/>
      <c r="AD218" s="54"/>
      <c r="AG218" s="54"/>
      <c r="AH218" s="54"/>
      <c r="AI218" s="54"/>
    </row>
    <row r="219" spans="18:35" x14ac:dyDescent="0.2">
      <c r="R219" s="54"/>
      <c r="S219" s="54"/>
      <c r="T219" s="54"/>
      <c r="W219" s="54"/>
      <c r="X219" s="54"/>
      <c r="Y219" s="54"/>
      <c r="AB219" s="54"/>
      <c r="AC219" s="54"/>
      <c r="AD219" s="54"/>
      <c r="AG219" s="54"/>
      <c r="AH219" s="54"/>
      <c r="AI219" s="54"/>
    </row>
    <row r="220" spans="18:35" x14ac:dyDescent="0.2">
      <c r="R220" s="54"/>
      <c r="S220" s="54"/>
      <c r="T220" s="54"/>
      <c r="W220" s="54"/>
      <c r="X220" s="54"/>
      <c r="Y220" s="54"/>
      <c r="AB220" s="54"/>
      <c r="AC220" s="54"/>
      <c r="AD220" s="54"/>
      <c r="AG220" s="54"/>
      <c r="AH220" s="54"/>
      <c r="AI220" s="54"/>
    </row>
    <row r="221" spans="18:35" x14ac:dyDescent="0.2">
      <c r="R221" s="54"/>
      <c r="S221" s="54"/>
      <c r="T221" s="54"/>
      <c r="W221" s="54"/>
      <c r="X221" s="54"/>
      <c r="Y221" s="54"/>
      <c r="AB221" s="54"/>
      <c r="AC221" s="54"/>
      <c r="AD221" s="54"/>
      <c r="AG221" s="54"/>
      <c r="AH221" s="54"/>
      <c r="AI221" s="54"/>
    </row>
    <row r="222" spans="18:35" x14ac:dyDescent="0.2">
      <c r="R222" s="54"/>
      <c r="S222" s="54"/>
      <c r="T222" s="54"/>
      <c r="W222" s="54"/>
      <c r="X222" s="54"/>
      <c r="Y222" s="54"/>
      <c r="AB222" s="54"/>
      <c r="AC222" s="54"/>
      <c r="AD222" s="54"/>
      <c r="AG222" s="54"/>
      <c r="AH222" s="54"/>
      <c r="AI222" s="54"/>
    </row>
    <row r="223" spans="18:35" x14ac:dyDescent="0.2">
      <c r="R223" s="54"/>
      <c r="S223" s="54"/>
      <c r="T223" s="54"/>
      <c r="W223" s="54"/>
      <c r="X223" s="54"/>
      <c r="Y223" s="54"/>
      <c r="AB223" s="54"/>
      <c r="AC223" s="54"/>
      <c r="AD223" s="54"/>
      <c r="AG223" s="54"/>
      <c r="AH223" s="54"/>
      <c r="AI223" s="54"/>
    </row>
    <row r="224" spans="18:35" x14ac:dyDescent="0.2">
      <c r="R224" s="54"/>
      <c r="S224" s="54"/>
      <c r="T224" s="54"/>
      <c r="W224" s="54"/>
      <c r="X224" s="54"/>
      <c r="Y224" s="54"/>
      <c r="AB224" s="54"/>
      <c r="AC224" s="54"/>
      <c r="AD224" s="54"/>
      <c r="AG224" s="54"/>
      <c r="AH224" s="54"/>
      <c r="AI224" s="54"/>
    </row>
    <row r="225" spans="18:35" x14ac:dyDescent="0.2">
      <c r="R225" s="54"/>
      <c r="S225" s="54"/>
      <c r="T225" s="54"/>
      <c r="W225" s="54"/>
      <c r="X225" s="54"/>
      <c r="Y225" s="54"/>
      <c r="AB225" s="54"/>
      <c r="AC225" s="54"/>
      <c r="AD225" s="54"/>
      <c r="AG225" s="54"/>
      <c r="AH225" s="54"/>
      <c r="AI225" s="54"/>
    </row>
    <row r="226" spans="18:35" x14ac:dyDescent="0.2">
      <c r="R226" s="54"/>
      <c r="S226" s="54"/>
      <c r="T226" s="54"/>
      <c r="W226" s="54"/>
      <c r="X226" s="54"/>
      <c r="Y226" s="54"/>
      <c r="AB226" s="54"/>
      <c r="AC226" s="54"/>
      <c r="AD226" s="54"/>
      <c r="AG226" s="54"/>
      <c r="AH226" s="54"/>
      <c r="AI226" s="54"/>
    </row>
    <row r="227" spans="18:35" x14ac:dyDescent="0.2">
      <c r="R227" s="54"/>
      <c r="S227" s="54"/>
      <c r="T227" s="54"/>
      <c r="W227" s="54"/>
      <c r="X227" s="54"/>
      <c r="Y227" s="54"/>
      <c r="AB227" s="54"/>
      <c r="AC227" s="54"/>
      <c r="AD227" s="54"/>
      <c r="AG227" s="54"/>
      <c r="AH227" s="54"/>
      <c r="AI227" s="54"/>
    </row>
    <row r="228" spans="18:35" x14ac:dyDescent="0.2">
      <c r="R228" s="54"/>
      <c r="S228" s="54"/>
      <c r="T228" s="54"/>
      <c r="W228" s="54"/>
      <c r="X228" s="54"/>
      <c r="Y228" s="54"/>
      <c r="AB228" s="54"/>
      <c r="AC228" s="54"/>
      <c r="AD228" s="54"/>
      <c r="AG228" s="54"/>
      <c r="AH228" s="54"/>
      <c r="AI228" s="54"/>
    </row>
    <row r="229" spans="18:35" x14ac:dyDescent="0.2">
      <c r="R229" s="54"/>
      <c r="S229" s="54"/>
      <c r="T229" s="54"/>
      <c r="W229" s="54"/>
      <c r="X229" s="54"/>
      <c r="Y229" s="54"/>
      <c r="AB229" s="54"/>
      <c r="AC229" s="54"/>
      <c r="AD229" s="54"/>
      <c r="AG229" s="54"/>
      <c r="AH229" s="54"/>
      <c r="AI229" s="54"/>
    </row>
    <row r="230" spans="18:35" x14ac:dyDescent="0.2">
      <c r="R230" s="54"/>
      <c r="S230" s="54"/>
      <c r="T230" s="54"/>
      <c r="W230" s="54"/>
      <c r="X230" s="54"/>
      <c r="Y230" s="54"/>
      <c r="AB230" s="54"/>
      <c r="AC230" s="54"/>
      <c r="AD230" s="54"/>
      <c r="AG230" s="54"/>
      <c r="AH230" s="54"/>
      <c r="AI230" s="54"/>
    </row>
    <row r="231" spans="18:35" x14ac:dyDescent="0.2">
      <c r="R231" s="54"/>
      <c r="S231" s="54"/>
      <c r="T231" s="54"/>
      <c r="W231" s="54"/>
      <c r="X231" s="54"/>
      <c r="Y231" s="54"/>
      <c r="AB231" s="54"/>
      <c r="AC231" s="54"/>
      <c r="AD231" s="54"/>
      <c r="AG231" s="54"/>
      <c r="AH231" s="54"/>
      <c r="AI231" s="54"/>
    </row>
    <row r="232" spans="18:35" x14ac:dyDescent="0.2">
      <c r="R232" s="54"/>
      <c r="S232" s="54"/>
      <c r="T232" s="54"/>
      <c r="W232" s="54"/>
      <c r="X232" s="54"/>
      <c r="Y232" s="54"/>
      <c r="AB232" s="54"/>
      <c r="AC232" s="54"/>
      <c r="AD232" s="54"/>
      <c r="AG232" s="54"/>
      <c r="AH232" s="54"/>
      <c r="AI232" s="54"/>
    </row>
    <row r="233" spans="18:35" x14ac:dyDescent="0.2">
      <c r="R233" s="54"/>
      <c r="S233" s="54"/>
      <c r="T233" s="54"/>
      <c r="W233" s="54"/>
      <c r="X233" s="54"/>
      <c r="Y233" s="54"/>
      <c r="AB233" s="54"/>
      <c r="AC233" s="54"/>
      <c r="AD233" s="54"/>
      <c r="AG233" s="54"/>
      <c r="AH233" s="54"/>
      <c r="AI233" s="54"/>
    </row>
    <row r="234" spans="18:35" x14ac:dyDescent="0.2">
      <c r="R234" s="54"/>
      <c r="S234" s="54"/>
      <c r="T234" s="54"/>
      <c r="W234" s="54"/>
      <c r="X234" s="54"/>
      <c r="Y234" s="54"/>
      <c r="AB234" s="54"/>
      <c r="AC234" s="54"/>
      <c r="AD234" s="54"/>
      <c r="AG234" s="54"/>
      <c r="AH234" s="54"/>
      <c r="AI234" s="54"/>
    </row>
    <row r="235" spans="18:35" x14ac:dyDescent="0.2">
      <c r="R235" s="54"/>
      <c r="S235" s="54"/>
      <c r="T235" s="54"/>
      <c r="W235" s="54"/>
      <c r="X235" s="54"/>
      <c r="Y235" s="54"/>
      <c r="AB235" s="54"/>
      <c r="AC235" s="54"/>
      <c r="AD235" s="54"/>
      <c r="AG235" s="54"/>
      <c r="AH235" s="54"/>
      <c r="AI235" s="54"/>
    </row>
    <row r="236" spans="18:35" x14ac:dyDescent="0.2">
      <c r="R236" s="54"/>
      <c r="S236" s="54"/>
      <c r="T236" s="54"/>
      <c r="W236" s="54"/>
      <c r="X236" s="54"/>
      <c r="Y236" s="54"/>
      <c r="AB236" s="54"/>
      <c r="AC236" s="54"/>
      <c r="AD236" s="54"/>
      <c r="AG236" s="54"/>
      <c r="AH236" s="54"/>
      <c r="AI236" s="54"/>
    </row>
    <row r="237" spans="18:35" x14ac:dyDescent="0.2">
      <c r="R237" s="54"/>
      <c r="S237" s="54"/>
      <c r="T237" s="54"/>
      <c r="W237" s="54"/>
      <c r="X237" s="54"/>
      <c r="Y237" s="54"/>
      <c r="AB237" s="54"/>
      <c r="AC237" s="54"/>
      <c r="AD237" s="54"/>
      <c r="AG237" s="54"/>
      <c r="AH237" s="54"/>
      <c r="AI237" s="54"/>
    </row>
    <row r="238" spans="18:35" x14ac:dyDescent="0.2">
      <c r="R238" s="54"/>
      <c r="S238" s="54"/>
      <c r="T238" s="54"/>
      <c r="W238" s="54"/>
      <c r="X238" s="54"/>
      <c r="Y238" s="54"/>
      <c r="AB238" s="54"/>
      <c r="AC238" s="54"/>
      <c r="AD238" s="54"/>
      <c r="AG238" s="54"/>
      <c r="AH238" s="54"/>
      <c r="AI238" s="54"/>
    </row>
    <row r="239" spans="18:35" x14ac:dyDescent="0.2">
      <c r="R239" s="54"/>
      <c r="S239" s="54"/>
      <c r="T239" s="54"/>
      <c r="W239" s="54"/>
      <c r="X239" s="54"/>
      <c r="Y239" s="54"/>
      <c r="AB239" s="54"/>
      <c r="AC239" s="54"/>
      <c r="AD239" s="54"/>
      <c r="AG239" s="54"/>
      <c r="AH239" s="54"/>
      <c r="AI239" s="54"/>
    </row>
    <row r="240" spans="18:35" x14ac:dyDescent="0.2">
      <c r="R240" s="54"/>
      <c r="S240" s="54"/>
      <c r="T240" s="54"/>
      <c r="W240" s="54"/>
      <c r="X240" s="54"/>
      <c r="Y240" s="54"/>
      <c r="AB240" s="54"/>
      <c r="AC240" s="54"/>
      <c r="AD240" s="54"/>
      <c r="AG240" s="54"/>
      <c r="AH240" s="54"/>
      <c r="AI240" s="54"/>
    </row>
    <row r="241" spans="18:35" x14ac:dyDescent="0.2">
      <c r="R241" s="54"/>
      <c r="S241" s="54"/>
      <c r="T241" s="54"/>
      <c r="W241" s="54"/>
      <c r="X241" s="54"/>
      <c r="Y241" s="54"/>
      <c r="AB241" s="54"/>
      <c r="AC241" s="54"/>
      <c r="AD241" s="54"/>
      <c r="AG241" s="54"/>
      <c r="AH241" s="54"/>
      <c r="AI241" s="54"/>
    </row>
    <row r="242" spans="18:35" x14ac:dyDescent="0.2">
      <c r="R242" s="54"/>
      <c r="S242" s="54"/>
      <c r="T242" s="54"/>
      <c r="W242" s="54"/>
      <c r="X242" s="54"/>
      <c r="Y242" s="54"/>
      <c r="AB242" s="54"/>
      <c r="AC242" s="54"/>
      <c r="AD242" s="54"/>
      <c r="AG242" s="54"/>
      <c r="AH242" s="54"/>
      <c r="AI242" s="54"/>
    </row>
    <row r="243" spans="18:35" x14ac:dyDescent="0.2">
      <c r="R243" s="54"/>
      <c r="S243" s="54"/>
      <c r="T243" s="54"/>
      <c r="W243" s="54"/>
      <c r="X243" s="54"/>
      <c r="Y243" s="54"/>
      <c r="AB243" s="54"/>
      <c r="AC243" s="54"/>
      <c r="AD243" s="54"/>
      <c r="AG243" s="54"/>
      <c r="AH243" s="54"/>
      <c r="AI243" s="54"/>
    </row>
    <row r="244" spans="18:35" x14ac:dyDescent="0.2">
      <c r="R244" s="54"/>
      <c r="S244" s="54"/>
      <c r="T244" s="54"/>
      <c r="W244" s="54"/>
      <c r="X244" s="54"/>
      <c r="Y244" s="54"/>
      <c r="AB244" s="54"/>
      <c r="AC244" s="54"/>
      <c r="AD244" s="54"/>
      <c r="AG244" s="54"/>
      <c r="AH244" s="54"/>
      <c r="AI244" s="54"/>
    </row>
    <row r="245" spans="18:35" x14ac:dyDescent="0.2">
      <c r="R245" s="54"/>
      <c r="S245" s="54"/>
      <c r="T245" s="54"/>
      <c r="W245" s="54"/>
      <c r="X245" s="54"/>
      <c r="Y245" s="54"/>
      <c r="AB245" s="54"/>
      <c r="AC245" s="54"/>
      <c r="AD245" s="54"/>
      <c r="AG245" s="54"/>
      <c r="AH245" s="54"/>
      <c r="AI245" s="54"/>
    </row>
    <row r="246" spans="18:35" x14ac:dyDescent="0.2">
      <c r="R246" s="54"/>
      <c r="S246" s="54"/>
      <c r="T246" s="54"/>
      <c r="W246" s="54"/>
      <c r="X246" s="54"/>
      <c r="Y246" s="54"/>
      <c r="AB246" s="54"/>
      <c r="AC246" s="54"/>
      <c r="AD246" s="54"/>
      <c r="AG246" s="54"/>
      <c r="AH246" s="54"/>
      <c r="AI246" s="54"/>
    </row>
    <row r="247" spans="18:35" x14ac:dyDescent="0.2">
      <c r="R247" s="54"/>
      <c r="S247" s="54"/>
      <c r="T247" s="54"/>
      <c r="W247" s="54"/>
      <c r="X247" s="54"/>
      <c r="Y247" s="54"/>
      <c r="AB247" s="54"/>
      <c r="AC247" s="54"/>
      <c r="AD247" s="54"/>
      <c r="AG247" s="54"/>
      <c r="AH247" s="54"/>
      <c r="AI247" s="54"/>
    </row>
    <row r="248" spans="18:35" x14ac:dyDescent="0.2">
      <c r="R248" s="54"/>
      <c r="S248" s="54"/>
      <c r="T248" s="54"/>
      <c r="W248" s="54"/>
      <c r="X248" s="54"/>
      <c r="Y248" s="54"/>
      <c r="AB248" s="54"/>
      <c r="AC248" s="54"/>
      <c r="AD248" s="54"/>
      <c r="AG248" s="54"/>
      <c r="AH248" s="54"/>
      <c r="AI248" s="54"/>
    </row>
    <row r="249" spans="18:35" x14ac:dyDescent="0.2">
      <c r="R249" s="54"/>
      <c r="S249" s="54"/>
      <c r="T249" s="54"/>
      <c r="W249" s="54"/>
      <c r="X249" s="54"/>
      <c r="Y249" s="54"/>
      <c r="AB249" s="54"/>
      <c r="AC249" s="54"/>
      <c r="AD249" s="54"/>
      <c r="AG249" s="54"/>
      <c r="AH249" s="54"/>
      <c r="AI249" s="54"/>
    </row>
    <row r="250" spans="18:35" x14ac:dyDescent="0.2">
      <c r="R250" s="54"/>
      <c r="S250" s="54"/>
      <c r="T250" s="54"/>
      <c r="W250" s="54"/>
      <c r="X250" s="54"/>
      <c r="Y250" s="54"/>
      <c r="AB250" s="54"/>
      <c r="AC250" s="54"/>
      <c r="AD250" s="54"/>
      <c r="AG250" s="54"/>
      <c r="AH250" s="54"/>
      <c r="AI250" s="54"/>
    </row>
    <row r="251" spans="18:35" x14ac:dyDescent="0.2">
      <c r="R251" s="54"/>
      <c r="S251" s="54"/>
      <c r="T251" s="54"/>
      <c r="W251" s="54"/>
      <c r="X251" s="54"/>
      <c r="Y251" s="54"/>
      <c r="AB251" s="54"/>
      <c r="AC251" s="54"/>
      <c r="AD251" s="54"/>
      <c r="AG251" s="54"/>
      <c r="AH251" s="54"/>
      <c r="AI251" s="54"/>
    </row>
    <row r="252" spans="18:35" x14ac:dyDescent="0.2">
      <c r="R252" s="54"/>
      <c r="S252" s="54"/>
      <c r="T252" s="54"/>
      <c r="W252" s="54"/>
      <c r="X252" s="54"/>
      <c r="Y252" s="54"/>
      <c r="AB252" s="54"/>
      <c r="AC252" s="54"/>
      <c r="AD252" s="54"/>
      <c r="AG252" s="54"/>
      <c r="AH252" s="54"/>
      <c r="AI252" s="54"/>
    </row>
    <row r="253" spans="18:35" x14ac:dyDescent="0.2">
      <c r="R253" s="54"/>
      <c r="S253" s="54"/>
      <c r="T253" s="54"/>
      <c r="W253" s="54"/>
      <c r="X253" s="54"/>
      <c r="Y253" s="54"/>
      <c r="AB253" s="54"/>
      <c r="AC253" s="54"/>
      <c r="AD253" s="54"/>
      <c r="AG253" s="54"/>
      <c r="AH253" s="54"/>
      <c r="AI253" s="54"/>
    </row>
    <row r="254" spans="18:35" x14ac:dyDescent="0.2">
      <c r="R254" s="54"/>
      <c r="S254" s="54"/>
      <c r="T254" s="54"/>
      <c r="W254" s="54"/>
      <c r="X254" s="54"/>
      <c r="Y254" s="54"/>
      <c r="AB254" s="54"/>
      <c r="AC254" s="54"/>
      <c r="AD254" s="54"/>
      <c r="AG254" s="54"/>
      <c r="AH254" s="54"/>
      <c r="AI254" s="54"/>
    </row>
    <row r="255" spans="18:35" x14ac:dyDescent="0.2">
      <c r="R255" s="54"/>
      <c r="S255" s="54"/>
      <c r="T255" s="54"/>
      <c r="W255" s="54"/>
      <c r="X255" s="54"/>
      <c r="Y255" s="54"/>
      <c r="AB255" s="54"/>
      <c r="AC255" s="54"/>
      <c r="AD255" s="54"/>
      <c r="AG255" s="54"/>
      <c r="AH255" s="54"/>
      <c r="AI255" s="54"/>
    </row>
    <row r="256" spans="18:35" x14ac:dyDescent="0.2">
      <c r="R256" s="54"/>
      <c r="S256" s="54"/>
      <c r="T256" s="54"/>
      <c r="W256" s="54"/>
      <c r="X256" s="54"/>
      <c r="Y256" s="54"/>
      <c r="AB256" s="54"/>
      <c r="AC256" s="54"/>
      <c r="AD256" s="54"/>
      <c r="AG256" s="54"/>
      <c r="AH256" s="54"/>
      <c r="AI256" s="54"/>
    </row>
    <row r="257" spans="18:35" x14ac:dyDescent="0.2">
      <c r="R257" s="54"/>
      <c r="S257" s="54"/>
      <c r="T257" s="54"/>
      <c r="W257" s="54"/>
      <c r="X257" s="54"/>
      <c r="Y257" s="54"/>
      <c r="AB257" s="54"/>
      <c r="AC257" s="54"/>
      <c r="AD257" s="54"/>
      <c r="AG257" s="54"/>
      <c r="AH257" s="54"/>
      <c r="AI257" s="54"/>
    </row>
    <row r="258" spans="18:35" x14ac:dyDescent="0.2">
      <c r="R258" s="54"/>
      <c r="S258" s="54"/>
      <c r="T258" s="54"/>
      <c r="W258" s="54"/>
      <c r="X258" s="54"/>
      <c r="Y258" s="54"/>
      <c r="AB258" s="54"/>
      <c r="AC258" s="54"/>
      <c r="AD258" s="54"/>
      <c r="AG258" s="54"/>
      <c r="AH258" s="54"/>
      <c r="AI258" s="54"/>
    </row>
    <row r="259" spans="18:35" x14ac:dyDescent="0.2">
      <c r="R259" s="54"/>
      <c r="S259" s="54"/>
      <c r="T259" s="54"/>
      <c r="W259" s="54"/>
      <c r="X259" s="54"/>
      <c r="Y259" s="54"/>
      <c r="AB259" s="54"/>
      <c r="AC259" s="54"/>
      <c r="AD259" s="54"/>
      <c r="AG259" s="54"/>
      <c r="AH259" s="54"/>
      <c r="AI259" s="54"/>
    </row>
    <row r="260" spans="18:35" x14ac:dyDescent="0.2">
      <c r="R260" s="54"/>
      <c r="S260" s="54"/>
      <c r="T260" s="54"/>
      <c r="W260" s="54"/>
      <c r="X260" s="54"/>
      <c r="Y260" s="54"/>
      <c r="AB260" s="54"/>
      <c r="AC260" s="54"/>
      <c r="AD260" s="54"/>
      <c r="AG260" s="54"/>
      <c r="AH260" s="54"/>
      <c r="AI260" s="54"/>
    </row>
    <row r="261" spans="18:35" x14ac:dyDescent="0.2">
      <c r="R261" s="54"/>
      <c r="S261" s="54"/>
      <c r="T261" s="54"/>
      <c r="W261" s="54"/>
      <c r="X261" s="54"/>
      <c r="Y261" s="54"/>
      <c r="AB261" s="54"/>
      <c r="AC261" s="54"/>
      <c r="AD261" s="54"/>
      <c r="AG261" s="54"/>
      <c r="AH261" s="54"/>
      <c r="AI261" s="54"/>
    </row>
    <row r="262" spans="18:35" x14ac:dyDescent="0.2">
      <c r="R262" s="54"/>
      <c r="S262" s="54"/>
      <c r="T262" s="54"/>
      <c r="W262" s="54"/>
      <c r="X262" s="54"/>
      <c r="Y262" s="54"/>
      <c r="AB262" s="54"/>
      <c r="AC262" s="54"/>
      <c r="AD262" s="54"/>
      <c r="AG262" s="54"/>
      <c r="AH262" s="54"/>
      <c r="AI262" s="54"/>
    </row>
    <row r="263" spans="18:35" x14ac:dyDescent="0.2">
      <c r="R263" s="54"/>
      <c r="S263" s="54"/>
      <c r="T263" s="54"/>
      <c r="W263" s="54"/>
      <c r="X263" s="54"/>
      <c r="Y263" s="54"/>
      <c r="AB263" s="54"/>
      <c r="AC263" s="54"/>
      <c r="AD263" s="54"/>
      <c r="AG263" s="54"/>
      <c r="AH263" s="54"/>
      <c r="AI263" s="54"/>
    </row>
    <row r="264" spans="18:35" x14ac:dyDescent="0.2">
      <c r="R264" s="54"/>
      <c r="S264" s="54"/>
      <c r="T264" s="54"/>
      <c r="W264" s="54"/>
      <c r="X264" s="54"/>
      <c r="Y264" s="54"/>
      <c r="AB264" s="54"/>
      <c r="AC264" s="54"/>
      <c r="AD264" s="54"/>
      <c r="AG264" s="54"/>
      <c r="AH264" s="54"/>
      <c r="AI264" s="54"/>
    </row>
    <row r="265" spans="18:35" x14ac:dyDescent="0.2">
      <c r="R265" s="54"/>
      <c r="S265" s="54"/>
      <c r="T265" s="54"/>
      <c r="W265" s="54"/>
      <c r="X265" s="54"/>
      <c r="Y265" s="54"/>
      <c r="AB265" s="54"/>
      <c r="AC265" s="54"/>
      <c r="AD265" s="54"/>
      <c r="AG265" s="54"/>
      <c r="AH265" s="54"/>
      <c r="AI265" s="54"/>
    </row>
    <row r="266" spans="18:35" x14ac:dyDescent="0.2">
      <c r="R266" s="54"/>
      <c r="S266" s="54"/>
      <c r="T266" s="54"/>
      <c r="W266" s="54"/>
      <c r="X266" s="54"/>
      <c r="Y266" s="54"/>
      <c r="AB266" s="54"/>
      <c r="AC266" s="54"/>
      <c r="AD266" s="54"/>
      <c r="AG266" s="54"/>
      <c r="AH266" s="54"/>
      <c r="AI266" s="54"/>
    </row>
    <row r="267" spans="18:35" x14ac:dyDescent="0.2">
      <c r="R267" s="54"/>
      <c r="S267" s="54"/>
      <c r="T267" s="54"/>
      <c r="W267" s="54"/>
      <c r="X267" s="54"/>
      <c r="Y267" s="54"/>
      <c r="AB267" s="54"/>
      <c r="AC267" s="54"/>
      <c r="AD267" s="54"/>
      <c r="AG267" s="54"/>
      <c r="AH267" s="54"/>
      <c r="AI267" s="54"/>
    </row>
    <row r="268" spans="18:35" x14ac:dyDescent="0.2">
      <c r="R268" s="54"/>
      <c r="S268" s="54"/>
      <c r="T268" s="54"/>
      <c r="W268" s="54"/>
      <c r="X268" s="54"/>
      <c r="Y268" s="54"/>
      <c r="AB268" s="54"/>
      <c r="AC268" s="54"/>
      <c r="AD268" s="54"/>
      <c r="AG268" s="54"/>
      <c r="AH268" s="54"/>
      <c r="AI268" s="54"/>
    </row>
    <row r="269" spans="18:35" x14ac:dyDescent="0.2">
      <c r="R269" s="54"/>
      <c r="S269" s="54"/>
      <c r="T269" s="54"/>
      <c r="W269" s="54"/>
      <c r="X269" s="54"/>
      <c r="Y269" s="54"/>
      <c r="AB269" s="54"/>
      <c r="AC269" s="54"/>
      <c r="AD269" s="54"/>
      <c r="AG269" s="54"/>
      <c r="AH269" s="54"/>
      <c r="AI269" s="54"/>
    </row>
    <row r="270" spans="18:35" x14ac:dyDescent="0.2">
      <c r="R270" s="54"/>
      <c r="S270" s="54"/>
      <c r="T270" s="54"/>
      <c r="W270" s="54"/>
      <c r="X270" s="54"/>
      <c r="Y270" s="54"/>
      <c r="AB270" s="54"/>
      <c r="AC270" s="54"/>
      <c r="AD270" s="54"/>
      <c r="AG270" s="54"/>
      <c r="AH270" s="54"/>
      <c r="AI270" s="54"/>
    </row>
    <row r="271" spans="18:35" x14ac:dyDescent="0.2">
      <c r="R271" s="54"/>
      <c r="S271" s="54"/>
      <c r="T271" s="54"/>
      <c r="W271" s="54"/>
      <c r="X271" s="54"/>
      <c r="Y271" s="54"/>
      <c r="AB271" s="54"/>
      <c r="AC271" s="54"/>
      <c r="AD271" s="54"/>
      <c r="AG271" s="54"/>
      <c r="AH271" s="54"/>
      <c r="AI271" s="54"/>
    </row>
    <row r="272" spans="18:35" x14ac:dyDescent="0.2">
      <c r="R272" s="54"/>
      <c r="S272" s="54"/>
      <c r="T272" s="54"/>
      <c r="W272" s="54"/>
      <c r="X272" s="54"/>
      <c r="Y272" s="54"/>
      <c r="AB272" s="54"/>
      <c r="AC272" s="54"/>
      <c r="AD272" s="54"/>
      <c r="AG272" s="54"/>
      <c r="AH272" s="54"/>
      <c r="AI272" s="54"/>
    </row>
    <row r="273" spans="18:35" x14ac:dyDescent="0.2">
      <c r="R273" s="54"/>
      <c r="S273" s="54"/>
      <c r="T273" s="54"/>
      <c r="W273" s="54"/>
      <c r="X273" s="54"/>
      <c r="Y273" s="54"/>
      <c r="AB273" s="54"/>
      <c r="AC273" s="54"/>
      <c r="AD273" s="54"/>
      <c r="AG273" s="54"/>
      <c r="AH273" s="54"/>
      <c r="AI273" s="54"/>
    </row>
    <row r="274" spans="18:35" x14ac:dyDescent="0.2">
      <c r="R274" s="54"/>
      <c r="S274" s="54"/>
      <c r="T274" s="54"/>
      <c r="W274" s="54"/>
      <c r="X274" s="54"/>
      <c r="Y274" s="54"/>
      <c r="AB274" s="54"/>
      <c r="AC274" s="54"/>
      <c r="AD274" s="54"/>
      <c r="AG274" s="54"/>
      <c r="AH274" s="54"/>
      <c r="AI274" s="54"/>
    </row>
    <row r="275" spans="18:35" x14ac:dyDescent="0.2">
      <c r="R275" s="54"/>
      <c r="S275" s="54"/>
      <c r="T275" s="54"/>
      <c r="W275" s="54"/>
      <c r="X275" s="54"/>
      <c r="Y275" s="54"/>
      <c r="AB275" s="54"/>
      <c r="AC275" s="54"/>
      <c r="AD275" s="54"/>
      <c r="AG275" s="54"/>
      <c r="AH275" s="54"/>
      <c r="AI275" s="54"/>
    </row>
    <row r="276" spans="18:35" x14ac:dyDescent="0.2">
      <c r="R276" s="54"/>
      <c r="S276" s="54"/>
      <c r="T276" s="54"/>
      <c r="W276" s="54"/>
      <c r="X276" s="54"/>
      <c r="Y276" s="54"/>
      <c r="AB276" s="54"/>
      <c r="AC276" s="54"/>
      <c r="AD276" s="54"/>
      <c r="AG276" s="54"/>
      <c r="AH276" s="54"/>
      <c r="AI276" s="54"/>
    </row>
    <row r="277" spans="18:35" x14ac:dyDescent="0.2">
      <c r="R277" s="54"/>
      <c r="S277" s="54"/>
      <c r="T277" s="54"/>
      <c r="W277" s="54"/>
      <c r="X277" s="54"/>
      <c r="Y277" s="54"/>
      <c r="AB277" s="54"/>
      <c r="AC277" s="54"/>
      <c r="AD277" s="54"/>
      <c r="AG277" s="54"/>
      <c r="AH277" s="54"/>
      <c r="AI277" s="54"/>
    </row>
    <row r="278" spans="18:35" x14ac:dyDescent="0.2">
      <c r="R278" s="54"/>
      <c r="S278" s="54"/>
      <c r="T278" s="54"/>
      <c r="W278" s="54"/>
      <c r="X278" s="54"/>
      <c r="Y278" s="54"/>
      <c r="AB278" s="54"/>
      <c r="AC278" s="54"/>
      <c r="AD278" s="54"/>
      <c r="AG278" s="54"/>
      <c r="AH278" s="54"/>
      <c r="AI278" s="54"/>
    </row>
    <row r="279" spans="18:35" x14ac:dyDescent="0.2">
      <c r="R279" s="54"/>
      <c r="S279" s="54"/>
      <c r="T279" s="54"/>
      <c r="W279" s="54"/>
      <c r="X279" s="54"/>
      <c r="Y279" s="54"/>
      <c r="AB279" s="54"/>
      <c r="AC279" s="54"/>
      <c r="AD279" s="54"/>
      <c r="AG279" s="54"/>
      <c r="AH279" s="54"/>
      <c r="AI279" s="54"/>
    </row>
    <row r="280" spans="18:35" x14ac:dyDescent="0.2">
      <c r="R280" s="54"/>
      <c r="S280" s="54"/>
      <c r="T280" s="54"/>
      <c r="W280" s="54"/>
      <c r="X280" s="54"/>
      <c r="Y280" s="54"/>
      <c r="AB280" s="54"/>
      <c r="AC280" s="54"/>
      <c r="AD280" s="54"/>
      <c r="AG280" s="54"/>
      <c r="AH280" s="54"/>
      <c r="AI280" s="54"/>
    </row>
    <row r="281" spans="18:35" x14ac:dyDescent="0.2">
      <c r="R281" s="54"/>
      <c r="S281" s="54"/>
      <c r="T281" s="54"/>
      <c r="W281" s="54"/>
      <c r="X281" s="54"/>
      <c r="Y281" s="54"/>
      <c r="AB281" s="54"/>
      <c r="AC281" s="54"/>
      <c r="AD281" s="54"/>
      <c r="AG281" s="54"/>
      <c r="AH281" s="54"/>
      <c r="AI281" s="54"/>
    </row>
    <row r="282" spans="18:35" x14ac:dyDescent="0.2">
      <c r="R282" s="54"/>
      <c r="S282" s="54"/>
      <c r="T282" s="54"/>
      <c r="W282" s="54"/>
      <c r="X282" s="54"/>
      <c r="Y282" s="54"/>
      <c r="AB282" s="54"/>
      <c r="AC282" s="54"/>
      <c r="AD282" s="54"/>
      <c r="AG282" s="54"/>
      <c r="AH282" s="54"/>
      <c r="AI282" s="54"/>
    </row>
    <row r="283" spans="18:35" x14ac:dyDescent="0.2">
      <c r="R283" s="54"/>
      <c r="S283" s="54"/>
      <c r="T283" s="54"/>
      <c r="W283" s="54"/>
      <c r="X283" s="54"/>
      <c r="Y283" s="54"/>
      <c r="AB283" s="54"/>
      <c r="AC283" s="54"/>
      <c r="AD283" s="54"/>
      <c r="AG283" s="54"/>
      <c r="AH283" s="54"/>
      <c r="AI283" s="54"/>
    </row>
    <row r="284" spans="18:35" x14ac:dyDescent="0.2">
      <c r="R284" s="54"/>
      <c r="S284" s="54"/>
      <c r="T284" s="54"/>
      <c r="W284" s="54"/>
      <c r="X284" s="54"/>
      <c r="Y284" s="54"/>
      <c r="AB284" s="54"/>
      <c r="AC284" s="54"/>
      <c r="AD284" s="54"/>
      <c r="AG284" s="54"/>
      <c r="AH284" s="54"/>
      <c r="AI284" s="54"/>
    </row>
    <row r="285" spans="18:35" x14ac:dyDescent="0.2">
      <c r="R285" s="54"/>
      <c r="S285" s="54"/>
      <c r="T285" s="54"/>
      <c r="W285" s="54"/>
      <c r="X285" s="54"/>
      <c r="Y285" s="54"/>
      <c r="AB285" s="54"/>
      <c r="AC285" s="54"/>
      <c r="AD285" s="54"/>
      <c r="AG285" s="54"/>
      <c r="AH285" s="54"/>
      <c r="AI285" s="54"/>
    </row>
    <row r="286" spans="18:35" x14ac:dyDescent="0.2">
      <c r="R286" s="54"/>
      <c r="S286" s="54"/>
      <c r="T286" s="54"/>
      <c r="W286" s="54"/>
      <c r="X286" s="54"/>
      <c r="Y286" s="54"/>
      <c r="AB286" s="54"/>
      <c r="AC286" s="54"/>
      <c r="AD286" s="54"/>
      <c r="AG286" s="54"/>
      <c r="AH286" s="54"/>
      <c r="AI286" s="54"/>
    </row>
    <row r="287" spans="18:35" x14ac:dyDescent="0.2">
      <c r="R287" s="54"/>
      <c r="S287" s="54"/>
      <c r="T287" s="54"/>
      <c r="W287" s="54"/>
      <c r="X287" s="54"/>
      <c r="Y287" s="54"/>
      <c r="AB287" s="54"/>
      <c r="AC287" s="54"/>
      <c r="AD287" s="54"/>
      <c r="AG287" s="54"/>
      <c r="AH287" s="54"/>
      <c r="AI287" s="54"/>
    </row>
    <row r="288" spans="18:35" x14ac:dyDescent="0.2">
      <c r="R288" s="54"/>
      <c r="S288" s="54"/>
      <c r="T288" s="54"/>
      <c r="W288" s="54"/>
      <c r="X288" s="54"/>
      <c r="Y288" s="54"/>
      <c r="AB288" s="54"/>
      <c r="AC288" s="54"/>
      <c r="AD288" s="54"/>
      <c r="AG288" s="54"/>
      <c r="AH288" s="54"/>
      <c r="AI288" s="54"/>
    </row>
    <row r="289" spans="18:35" x14ac:dyDescent="0.2">
      <c r="R289" s="54"/>
      <c r="S289" s="54"/>
      <c r="T289" s="54"/>
      <c r="W289" s="54"/>
      <c r="X289" s="54"/>
      <c r="Y289" s="54"/>
      <c r="AB289" s="54"/>
      <c r="AC289" s="54"/>
      <c r="AD289" s="54"/>
      <c r="AG289" s="54"/>
      <c r="AH289" s="54"/>
      <c r="AI289" s="54"/>
    </row>
    <row r="290" spans="18:35" x14ac:dyDescent="0.2">
      <c r="R290" s="54"/>
      <c r="S290" s="54"/>
      <c r="T290" s="54"/>
      <c r="W290" s="54"/>
      <c r="X290" s="54"/>
      <c r="Y290" s="54"/>
      <c r="AB290" s="54"/>
      <c r="AC290" s="54"/>
      <c r="AD290" s="54"/>
      <c r="AG290" s="54"/>
      <c r="AH290" s="54"/>
      <c r="AI290" s="54"/>
    </row>
    <row r="291" spans="18:35" x14ac:dyDescent="0.2">
      <c r="R291" s="54"/>
      <c r="S291" s="54"/>
      <c r="T291" s="54"/>
      <c r="W291" s="54"/>
      <c r="X291" s="54"/>
      <c r="Y291" s="54"/>
      <c r="AB291" s="54"/>
      <c r="AC291" s="54"/>
      <c r="AD291" s="54"/>
      <c r="AG291" s="54"/>
      <c r="AH291" s="54"/>
      <c r="AI291" s="54"/>
    </row>
    <row r="292" spans="18:35" x14ac:dyDescent="0.2">
      <c r="R292" s="54"/>
      <c r="S292" s="54"/>
      <c r="T292" s="54"/>
      <c r="W292" s="54"/>
      <c r="X292" s="54"/>
      <c r="Y292" s="54"/>
      <c r="AB292" s="54"/>
      <c r="AC292" s="54"/>
      <c r="AD292" s="54"/>
      <c r="AG292" s="54"/>
      <c r="AH292" s="54"/>
      <c r="AI292" s="54"/>
    </row>
    <row r="293" spans="18:35" x14ac:dyDescent="0.2">
      <c r="R293" s="54"/>
      <c r="S293" s="54"/>
      <c r="T293" s="54"/>
      <c r="W293" s="54"/>
      <c r="X293" s="54"/>
      <c r="Y293" s="54"/>
      <c r="AB293" s="54"/>
      <c r="AC293" s="54"/>
      <c r="AD293" s="54"/>
      <c r="AG293" s="54"/>
      <c r="AH293" s="54"/>
      <c r="AI293" s="54"/>
    </row>
    <row r="294" spans="18:35" x14ac:dyDescent="0.2">
      <c r="R294" s="54"/>
      <c r="S294" s="54"/>
      <c r="T294" s="54"/>
      <c r="W294" s="54"/>
      <c r="X294" s="54"/>
      <c r="Y294" s="54"/>
      <c r="AB294" s="54"/>
      <c r="AC294" s="54"/>
      <c r="AD294" s="54"/>
      <c r="AG294" s="54"/>
      <c r="AH294" s="54"/>
      <c r="AI294" s="54"/>
    </row>
    <row r="295" spans="18:35" x14ac:dyDescent="0.2">
      <c r="R295" s="54"/>
      <c r="S295" s="54"/>
      <c r="T295" s="54"/>
      <c r="W295" s="54"/>
      <c r="X295" s="54"/>
      <c r="Y295" s="54"/>
      <c r="AB295" s="54"/>
      <c r="AC295" s="54"/>
      <c r="AD295" s="54"/>
      <c r="AG295" s="54"/>
      <c r="AH295" s="54"/>
      <c r="AI295" s="54"/>
    </row>
    <row r="296" spans="18:35" x14ac:dyDescent="0.2">
      <c r="R296" s="54"/>
      <c r="S296" s="54"/>
      <c r="T296" s="54"/>
      <c r="W296" s="54"/>
      <c r="X296" s="54"/>
      <c r="Y296" s="54"/>
      <c r="AB296" s="54"/>
      <c r="AC296" s="54"/>
      <c r="AD296" s="54"/>
      <c r="AG296" s="54"/>
      <c r="AH296" s="54"/>
      <c r="AI296" s="54"/>
    </row>
    <row r="297" spans="18:35" x14ac:dyDescent="0.2">
      <c r="R297" s="54"/>
      <c r="S297" s="54"/>
      <c r="T297" s="54"/>
      <c r="W297" s="54"/>
      <c r="X297" s="54"/>
      <c r="Y297" s="54"/>
      <c r="AB297" s="54"/>
      <c r="AC297" s="54"/>
      <c r="AD297" s="54"/>
      <c r="AG297" s="54"/>
      <c r="AH297" s="54"/>
      <c r="AI297" s="54"/>
    </row>
    <row r="298" spans="18:35" x14ac:dyDescent="0.2">
      <c r="R298" s="54"/>
      <c r="S298" s="54"/>
      <c r="T298" s="54"/>
      <c r="W298" s="54"/>
      <c r="X298" s="54"/>
      <c r="Y298" s="54"/>
      <c r="AB298" s="54"/>
      <c r="AC298" s="54"/>
      <c r="AD298" s="54"/>
      <c r="AG298" s="54"/>
      <c r="AH298" s="54"/>
      <c r="AI298" s="54"/>
    </row>
    <row r="299" spans="18:35" x14ac:dyDescent="0.2">
      <c r="R299" s="54"/>
      <c r="S299" s="54"/>
      <c r="T299" s="54"/>
      <c r="W299" s="54"/>
      <c r="X299" s="54"/>
      <c r="Y299" s="54"/>
      <c r="AB299" s="54"/>
      <c r="AC299" s="54"/>
      <c r="AD299" s="54"/>
      <c r="AG299" s="54"/>
      <c r="AH299" s="54"/>
      <c r="AI299" s="54"/>
    </row>
    <row r="300" spans="18:35" x14ac:dyDescent="0.2">
      <c r="R300" s="54"/>
      <c r="S300" s="54"/>
      <c r="T300" s="54"/>
      <c r="W300" s="54"/>
      <c r="X300" s="54"/>
      <c r="Y300" s="54"/>
      <c r="AB300" s="54"/>
      <c r="AC300" s="54"/>
      <c r="AD300" s="54"/>
      <c r="AG300" s="54"/>
      <c r="AH300" s="54"/>
      <c r="AI300" s="54"/>
    </row>
    <row r="301" spans="18:35" x14ac:dyDescent="0.2">
      <c r="R301" s="54"/>
      <c r="S301" s="54"/>
      <c r="T301" s="54"/>
      <c r="W301" s="54"/>
      <c r="X301" s="54"/>
      <c r="Y301" s="54"/>
      <c r="AB301" s="54"/>
      <c r="AC301" s="54"/>
      <c r="AD301" s="54"/>
      <c r="AG301" s="54"/>
      <c r="AH301" s="54"/>
      <c r="AI301" s="54"/>
    </row>
    <row r="302" spans="18:35" x14ac:dyDescent="0.2">
      <c r="R302" s="54"/>
      <c r="S302" s="54"/>
      <c r="T302" s="54"/>
      <c r="W302" s="54"/>
      <c r="X302" s="54"/>
      <c r="Y302" s="54"/>
      <c r="AB302" s="54"/>
      <c r="AC302" s="54"/>
      <c r="AD302" s="54"/>
      <c r="AG302" s="54"/>
      <c r="AH302" s="54"/>
      <c r="AI302" s="54"/>
    </row>
    <row r="303" spans="18:35" x14ac:dyDescent="0.2">
      <c r="R303" s="54"/>
      <c r="S303" s="54"/>
      <c r="T303" s="54"/>
      <c r="W303" s="54"/>
      <c r="X303" s="54"/>
      <c r="Y303" s="54"/>
      <c r="AB303" s="54"/>
      <c r="AC303" s="54"/>
      <c r="AD303" s="54"/>
      <c r="AG303" s="54"/>
      <c r="AH303" s="54"/>
      <c r="AI303" s="54"/>
    </row>
    <row r="304" spans="18:35" x14ac:dyDescent="0.2">
      <c r="R304" s="54"/>
      <c r="S304" s="54"/>
      <c r="T304" s="54"/>
      <c r="W304" s="54"/>
      <c r="X304" s="54"/>
      <c r="Y304" s="54"/>
      <c r="AB304" s="54"/>
      <c r="AC304" s="54"/>
      <c r="AD304" s="54"/>
      <c r="AG304" s="54"/>
      <c r="AH304" s="54"/>
      <c r="AI304" s="54"/>
    </row>
    <row r="305" spans="18:35" x14ac:dyDescent="0.2">
      <c r="R305" s="54"/>
      <c r="S305" s="54"/>
      <c r="T305" s="54"/>
      <c r="W305" s="54"/>
      <c r="X305" s="54"/>
      <c r="Y305" s="54"/>
      <c r="AB305" s="54"/>
      <c r="AC305" s="54"/>
      <c r="AD305" s="54"/>
      <c r="AG305" s="54"/>
      <c r="AH305" s="54"/>
      <c r="AI305" s="54"/>
    </row>
    <row r="306" spans="18:35" x14ac:dyDescent="0.2">
      <c r="R306" s="54"/>
      <c r="S306" s="54"/>
      <c r="T306" s="54"/>
      <c r="W306" s="54"/>
      <c r="X306" s="54"/>
      <c r="Y306" s="54"/>
      <c r="AB306" s="54"/>
      <c r="AC306" s="54"/>
      <c r="AD306" s="54"/>
      <c r="AG306" s="54"/>
      <c r="AH306" s="54"/>
      <c r="AI306" s="54"/>
    </row>
    <row r="307" spans="18:35" x14ac:dyDescent="0.2">
      <c r="R307" s="54"/>
      <c r="S307" s="54"/>
      <c r="T307" s="54"/>
      <c r="W307" s="54"/>
      <c r="X307" s="54"/>
      <c r="Y307" s="54"/>
      <c r="AB307" s="54"/>
      <c r="AC307" s="54"/>
      <c r="AD307" s="54"/>
      <c r="AG307" s="54"/>
      <c r="AH307" s="54"/>
      <c r="AI307" s="54"/>
    </row>
    <row r="308" spans="18:35" x14ac:dyDescent="0.2">
      <c r="R308" s="54"/>
      <c r="S308" s="54"/>
      <c r="T308" s="54"/>
      <c r="W308" s="54"/>
      <c r="X308" s="54"/>
      <c r="Y308" s="54"/>
      <c r="AB308" s="54"/>
      <c r="AC308" s="54"/>
      <c r="AD308" s="54"/>
      <c r="AG308" s="54"/>
      <c r="AH308" s="54"/>
      <c r="AI308" s="54"/>
    </row>
    <row r="309" spans="18:35" x14ac:dyDescent="0.2">
      <c r="R309" s="54"/>
      <c r="S309" s="54"/>
      <c r="T309" s="54"/>
      <c r="W309" s="54"/>
      <c r="X309" s="54"/>
      <c r="Y309" s="54"/>
      <c r="AB309" s="54"/>
      <c r="AC309" s="54"/>
      <c r="AD309" s="54"/>
      <c r="AG309" s="54"/>
      <c r="AH309" s="54"/>
      <c r="AI309" s="54"/>
    </row>
    <row r="310" spans="18:35" x14ac:dyDescent="0.2">
      <c r="R310" s="54"/>
      <c r="S310" s="54"/>
      <c r="T310" s="54"/>
      <c r="W310" s="54"/>
      <c r="X310" s="54"/>
      <c r="Y310" s="54"/>
      <c r="AB310" s="54"/>
      <c r="AC310" s="54"/>
      <c r="AD310" s="54"/>
      <c r="AG310" s="54"/>
      <c r="AH310" s="54"/>
      <c r="AI310" s="54"/>
    </row>
    <row r="311" spans="18:35" x14ac:dyDescent="0.2">
      <c r="R311" s="54"/>
      <c r="S311" s="54"/>
      <c r="T311" s="54"/>
      <c r="W311" s="54"/>
      <c r="X311" s="54"/>
      <c r="Y311" s="54"/>
      <c r="AB311" s="54"/>
      <c r="AC311" s="54"/>
      <c r="AD311" s="54"/>
      <c r="AG311" s="54"/>
      <c r="AH311" s="54"/>
      <c r="AI311" s="54"/>
    </row>
    <row r="312" spans="18:35" x14ac:dyDescent="0.2">
      <c r="R312" s="54"/>
      <c r="S312" s="54"/>
      <c r="T312" s="54"/>
      <c r="W312" s="54"/>
      <c r="X312" s="54"/>
      <c r="Y312" s="54"/>
      <c r="AB312" s="54"/>
      <c r="AC312" s="54"/>
      <c r="AD312" s="54"/>
      <c r="AG312" s="54"/>
      <c r="AH312" s="54"/>
      <c r="AI312" s="54"/>
    </row>
    <row r="313" spans="18:35" x14ac:dyDescent="0.2">
      <c r="R313" s="54"/>
      <c r="S313" s="54"/>
      <c r="T313" s="54"/>
      <c r="W313" s="54"/>
      <c r="X313" s="54"/>
      <c r="Y313" s="54"/>
      <c r="AB313" s="54"/>
      <c r="AC313" s="54"/>
      <c r="AD313" s="54"/>
      <c r="AG313" s="54"/>
      <c r="AH313" s="54"/>
      <c r="AI313" s="54"/>
    </row>
    <row r="314" spans="18:35" x14ac:dyDescent="0.2">
      <c r="R314" s="54"/>
      <c r="S314" s="54"/>
      <c r="T314" s="54"/>
      <c r="W314" s="54"/>
      <c r="X314" s="54"/>
      <c r="Y314" s="54"/>
      <c r="AB314" s="54"/>
      <c r="AC314" s="54"/>
      <c r="AD314" s="54"/>
      <c r="AG314" s="54"/>
      <c r="AH314" s="54"/>
      <c r="AI314" s="54"/>
    </row>
    <row r="315" spans="18:35" x14ac:dyDescent="0.2">
      <c r="R315" s="54"/>
      <c r="S315" s="54"/>
      <c r="T315" s="54"/>
      <c r="W315" s="54"/>
      <c r="X315" s="54"/>
      <c r="Y315" s="54"/>
      <c r="AB315" s="54"/>
      <c r="AC315" s="54"/>
      <c r="AD315" s="54"/>
      <c r="AG315" s="54"/>
      <c r="AH315" s="54"/>
      <c r="AI315" s="54"/>
    </row>
    <row r="316" spans="18:35" x14ac:dyDescent="0.2">
      <c r="R316" s="54"/>
      <c r="S316" s="54"/>
      <c r="T316" s="54"/>
      <c r="W316" s="54"/>
      <c r="X316" s="54"/>
      <c r="Y316" s="54"/>
      <c r="AB316" s="54"/>
      <c r="AC316" s="54"/>
      <c r="AD316" s="54"/>
      <c r="AG316" s="54"/>
      <c r="AH316" s="54"/>
      <c r="AI316" s="54"/>
    </row>
    <row r="317" spans="18:35" x14ac:dyDescent="0.2">
      <c r="R317" s="54"/>
      <c r="S317" s="54"/>
      <c r="T317" s="54"/>
      <c r="W317" s="54"/>
      <c r="X317" s="54"/>
      <c r="Y317" s="54"/>
      <c r="AB317" s="54"/>
      <c r="AC317" s="54"/>
      <c r="AD317" s="54"/>
      <c r="AG317" s="54"/>
      <c r="AH317" s="54"/>
      <c r="AI317" s="54"/>
    </row>
    <row r="318" spans="18:35" x14ac:dyDescent="0.2">
      <c r="R318" s="54"/>
      <c r="S318" s="54"/>
      <c r="T318" s="54"/>
      <c r="W318" s="54"/>
      <c r="X318" s="54"/>
      <c r="Y318" s="54"/>
      <c r="AB318" s="54"/>
      <c r="AC318" s="54"/>
      <c r="AD318" s="54"/>
      <c r="AG318" s="54"/>
      <c r="AH318" s="54"/>
      <c r="AI318" s="54"/>
    </row>
    <row r="319" spans="18:35" x14ac:dyDescent="0.2">
      <c r="R319" s="54"/>
      <c r="S319" s="54"/>
      <c r="T319" s="54"/>
      <c r="W319" s="54"/>
      <c r="X319" s="54"/>
      <c r="Y319" s="54"/>
      <c r="AB319" s="54"/>
      <c r="AC319" s="54"/>
      <c r="AD319" s="54"/>
      <c r="AG319" s="54"/>
      <c r="AH319" s="54"/>
      <c r="AI319" s="54"/>
    </row>
    <row r="320" spans="18:35" x14ac:dyDescent="0.2">
      <c r="R320" s="54"/>
      <c r="S320" s="54"/>
      <c r="T320" s="54"/>
      <c r="W320" s="54"/>
      <c r="X320" s="54"/>
      <c r="Y320" s="54"/>
      <c r="AB320" s="54"/>
      <c r="AC320" s="54"/>
      <c r="AD320" s="54"/>
      <c r="AG320" s="54"/>
      <c r="AH320" s="54"/>
      <c r="AI320" s="54"/>
    </row>
    <row r="321" spans="18:35" x14ac:dyDescent="0.2">
      <c r="R321" s="54"/>
      <c r="S321" s="54"/>
      <c r="T321" s="54"/>
      <c r="W321" s="54"/>
      <c r="X321" s="54"/>
      <c r="Y321" s="54"/>
      <c r="AB321" s="54"/>
      <c r="AC321" s="54"/>
      <c r="AD321" s="54"/>
      <c r="AG321" s="54"/>
      <c r="AH321" s="54"/>
      <c r="AI321" s="54"/>
    </row>
    <row r="322" spans="18:35" x14ac:dyDescent="0.2">
      <c r="R322" s="54"/>
      <c r="S322" s="54"/>
      <c r="T322" s="54"/>
      <c r="W322" s="54"/>
      <c r="X322" s="54"/>
      <c r="Y322" s="54"/>
      <c r="AB322" s="54"/>
      <c r="AC322" s="54"/>
      <c r="AD322" s="54"/>
      <c r="AG322" s="54"/>
      <c r="AH322" s="54"/>
      <c r="AI322" s="54"/>
    </row>
    <row r="323" spans="18:35" x14ac:dyDescent="0.2">
      <c r="R323" s="54"/>
      <c r="S323" s="54"/>
      <c r="T323" s="54"/>
      <c r="W323" s="54"/>
      <c r="X323" s="54"/>
      <c r="Y323" s="54"/>
      <c r="AB323" s="54"/>
      <c r="AC323" s="54"/>
      <c r="AD323" s="54"/>
      <c r="AG323" s="54"/>
      <c r="AH323" s="54"/>
      <c r="AI323" s="54"/>
    </row>
    <row r="324" spans="18:35" x14ac:dyDescent="0.2">
      <c r="R324" s="54"/>
      <c r="S324" s="54"/>
      <c r="T324" s="54"/>
      <c r="W324" s="54"/>
      <c r="X324" s="54"/>
      <c r="Y324" s="54"/>
      <c r="AB324" s="54"/>
      <c r="AC324" s="54"/>
      <c r="AD324" s="54"/>
      <c r="AG324" s="54"/>
      <c r="AH324" s="54"/>
      <c r="AI324" s="54"/>
    </row>
    <row r="325" spans="18:35" x14ac:dyDescent="0.2">
      <c r="R325" s="54"/>
      <c r="S325" s="54"/>
      <c r="T325" s="54"/>
      <c r="W325" s="54"/>
      <c r="X325" s="54"/>
      <c r="Y325" s="54"/>
      <c r="AB325" s="54"/>
      <c r="AC325" s="54"/>
      <c r="AD325" s="54"/>
      <c r="AG325" s="54"/>
      <c r="AH325" s="54"/>
      <c r="AI325" s="54"/>
    </row>
    <row r="326" spans="18:35" x14ac:dyDescent="0.2">
      <c r="R326" s="54"/>
      <c r="S326" s="54"/>
      <c r="T326" s="54"/>
      <c r="W326" s="54"/>
      <c r="X326" s="54"/>
      <c r="Y326" s="54"/>
      <c r="AB326" s="54"/>
      <c r="AC326" s="54"/>
      <c r="AD326" s="54"/>
      <c r="AG326" s="54"/>
      <c r="AH326" s="54"/>
      <c r="AI326" s="54"/>
    </row>
    <row r="327" spans="18:35" x14ac:dyDescent="0.2">
      <c r="R327" s="54"/>
      <c r="S327" s="54"/>
      <c r="T327" s="54"/>
      <c r="W327" s="54"/>
      <c r="X327" s="54"/>
      <c r="Y327" s="54"/>
      <c r="AB327" s="54"/>
      <c r="AC327" s="54"/>
      <c r="AD327" s="54"/>
      <c r="AG327" s="54"/>
      <c r="AH327" s="54"/>
      <c r="AI327" s="54"/>
    </row>
    <row r="328" spans="18:35" x14ac:dyDescent="0.2">
      <c r="R328" s="54"/>
      <c r="S328" s="54"/>
      <c r="T328" s="54"/>
      <c r="W328" s="54"/>
      <c r="X328" s="54"/>
      <c r="Y328" s="54"/>
      <c r="AB328" s="54"/>
      <c r="AC328" s="54"/>
      <c r="AD328" s="54"/>
      <c r="AG328" s="54"/>
      <c r="AH328" s="54"/>
      <c r="AI328" s="54"/>
    </row>
    <row r="329" spans="18:35" x14ac:dyDescent="0.2">
      <c r="R329" s="54"/>
      <c r="S329" s="54"/>
      <c r="T329" s="54"/>
      <c r="W329" s="54"/>
      <c r="X329" s="54"/>
      <c r="Y329" s="54"/>
      <c r="AB329" s="54"/>
      <c r="AC329" s="54"/>
      <c r="AD329" s="54"/>
      <c r="AG329" s="54"/>
      <c r="AH329" s="54"/>
      <c r="AI329" s="54"/>
    </row>
    <row r="330" spans="18:35" x14ac:dyDescent="0.2">
      <c r="R330" s="54"/>
      <c r="S330" s="54"/>
      <c r="T330" s="54"/>
      <c r="W330" s="54"/>
      <c r="X330" s="54"/>
      <c r="Y330" s="54"/>
      <c r="AB330" s="54"/>
      <c r="AC330" s="54"/>
      <c r="AD330" s="54"/>
      <c r="AG330" s="54"/>
      <c r="AH330" s="54"/>
      <c r="AI330" s="54"/>
    </row>
    <row r="331" spans="18:35" x14ac:dyDescent="0.2">
      <c r="R331" s="54"/>
      <c r="S331" s="54"/>
      <c r="T331" s="54"/>
      <c r="W331" s="54"/>
      <c r="X331" s="54"/>
      <c r="Y331" s="54"/>
      <c r="AB331" s="54"/>
      <c r="AC331" s="54"/>
      <c r="AD331" s="54"/>
      <c r="AG331" s="54"/>
      <c r="AH331" s="54"/>
      <c r="AI331" s="54"/>
    </row>
    <row r="332" spans="18:35" x14ac:dyDescent="0.2">
      <c r="R332" s="54"/>
      <c r="S332" s="54"/>
      <c r="T332" s="54"/>
      <c r="W332" s="54"/>
      <c r="X332" s="54"/>
      <c r="Y332" s="54"/>
      <c r="AB332" s="54"/>
      <c r="AC332" s="54"/>
      <c r="AD332" s="54"/>
      <c r="AG332" s="54"/>
      <c r="AH332" s="54"/>
      <c r="AI332" s="54"/>
    </row>
    <row r="333" spans="18:35" x14ac:dyDescent="0.2">
      <c r="R333" s="54"/>
      <c r="S333" s="54"/>
      <c r="T333" s="54"/>
      <c r="W333" s="54"/>
      <c r="X333" s="54"/>
      <c r="Y333" s="54"/>
      <c r="AB333" s="54"/>
      <c r="AC333" s="54"/>
      <c r="AD333" s="54"/>
      <c r="AG333" s="54"/>
      <c r="AH333" s="54"/>
      <c r="AI333" s="54"/>
    </row>
    <row r="334" spans="18:35" x14ac:dyDescent="0.2">
      <c r="R334" s="54"/>
      <c r="S334" s="54"/>
      <c r="T334" s="54"/>
      <c r="W334" s="54"/>
      <c r="X334" s="54"/>
      <c r="Y334" s="54"/>
      <c r="AB334" s="54"/>
      <c r="AC334" s="54"/>
      <c r="AD334" s="54"/>
      <c r="AG334" s="54"/>
      <c r="AH334" s="54"/>
      <c r="AI334" s="54"/>
    </row>
    <row r="335" spans="18:35" x14ac:dyDescent="0.2">
      <c r="R335" s="54"/>
      <c r="S335" s="54"/>
      <c r="T335" s="54"/>
      <c r="W335" s="54"/>
      <c r="X335" s="54"/>
      <c r="Y335" s="54"/>
      <c r="AB335" s="54"/>
      <c r="AC335" s="54"/>
      <c r="AD335" s="54"/>
      <c r="AG335" s="54"/>
      <c r="AH335" s="54"/>
      <c r="AI335" s="54"/>
    </row>
    <row r="336" spans="18:35" x14ac:dyDescent="0.2">
      <c r="R336" s="54"/>
      <c r="S336" s="54"/>
      <c r="T336" s="54"/>
      <c r="W336" s="54"/>
      <c r="X336" s="54"/>
      <c r="Y336" s="54"/>
      <c r="AB336" s="54"/>
      <c r="AC336" s="54"/>
      <c r="AD336" s="54"/>
      <c r="AG336" s="54"/>
      <c r="AH336" s="54"/>
      <c r="AI336" s="54"/>
    </row>
    <row r="337" spans="18:35" x14ac:dyDescent="0.2">
      <c r="R337" s="54"/>
      <c r="S337" s="54"/>
      <c r="T337" s="54"/>
      <c r="W337" s="54"/>
      <c r="X337" s="54"/>
      <c r="Y337" s="54"/>
      <c r="AB337" s="54"/>
      <c r="AC337" s="54"/>
      <c r="AD337" s="54"/>
      <c r="AG337" s="54"/>
      <c r="AH337" s="54"/>
      <c r="AI337" s="54"/>
    </row>
    <row r="338" spans="18:35" x14ac:dyDescent="0.2">
      <c r="R338" s="54"/>
      <c r="S338" s="54"/>
      <c r="T338" s="54"/>
      <c r="W338" s="54"/>
      <c r="X338" s="54"/>
      <c r="Y338" s="54"/>
      <c r="AB338" s="54"/>
      <c r="AC338" s="54"/>
      <c r="AD338" s="54"/>
      <c r="AG338" s="54"/>
      <c r="AH338" s="54"/>
      <c r="AI338" s="54"/>
    </row>
    <row r="339" spans="18:35" x14ac:dyDescent="0.2">
      <c r="R339" s="54"/>
      <c r="S339" s="54"/>
      <c r="T339" s="54"/>
      <c r="W339" s="54"/>
      <c r="X339" s="54"/>
      <c r="Y339" s="54"/>
      <c r="AB339" s="54"/>
      <c r="AC339" s="54"/>
      <c r="AD339" s="54"/>
      <c r="AG339" s="54"/>
      <c r="AH339" s="54"/>
      <c r="AI339" s="54"/>
    </row>
    <row r="340" spans="18:35" x14ac:dyDescent="0.2">
      <c r="R340" s="54"/>
      <c r="S340" s="54"/>
      <c r="T340" s="54"/>
      <c r="W340" s="54"/>
      <c r="X340" s="54"/>
      <c r="Y340" s="54"/>
      <c r="AB340" s="54"/>
      <c r="AC340" s="54"/>
      <c r="AD340" s="54"/>
      <c r="AG340" s="54"/>
      <c r="AH340" s="54"/>
      <c r="AI340" s="54"/>
    </row>
    <row r="341" spans="18:35" x14ac:dyDescent="0.2">
      <c r="R341" s="54"/>
      <c r="S341" s="54"/>
      <c r="T341" s="54"/>
      <c r="W341" s="54"/>
      <c r="X341" s="54"/>
      <c r="Y341" s="54"/>
      <c r="AB341" s="54"/>
      <c r="AC341" s="54"/>
      <c r="AD341" s="54"/>
      <c r="AG341" s="54"/>
      <c r="AH341" s="54"/>
      <c r="AI341" s="54"/>
    </row>
    <row r="342" spans="18:35" x14ac:dyDescent="0.2">
      <c r="R342" s="54"/>
      <c r="S342" s="54"/>
      <c r="T342" s="54"/>
      <c r="W342" s="54"/>
      <c r="X342" s="54"/>
      <c r="Y342" s="54"/>
      <c r="AB342" s="54"/>
      <c r="AC342" s="54"/>
      <c r="AD342" s="54"/>
      <c r="AG342" s="54"/>
      <c r="AH342" s="54"/>
      <c r="AI342" s="54"/>
    </row>
    <row r="343" spans="18:35" x14ac:dyDescent="0.2">
      <c r="R343" s="54"/>
      <c r="S343" s="54"/>
      <c r="T343" s="54"/>
      <c r="W343" s="54"/>
      <c r="X343" s="54"/>
      <c r="Y343" s="54"/>
      <c r="AB343" s="54"/>
      <c r="AC343" s="54"/>
      <c r="AD343" s="54"/>
      <c r="AG343" s="54"/>
      <c r="AH343" s="54"/>
      <c r="AI343" s="54"/>
    </row>
    <row r="344" spans="18:35" x14ac:dyDescent="0.2">
      <c r="R344" s="54"/>
      <c r="S344" s="54"/>
      <c r="T344" s="54"/>
      <c r="W344" s="54"/>
      <c r="X344" s="54"/>
      <c r="Y344" s="54"/>
      <c r="AB344" s="54"/>
      <c r="AC344" s="54"/>
      <c r="AD344" s="54"/>
      <c r="AG344" s="54"/>
      <c r="AH344" s="54"/>
      <c r="AI344" s="54"/>
    </row>
    <row r="345" spans="18:35" x14ac:dyDescent="0.2">
      <c r="R345" s="54"/>
      <c r="S345" s="54"/>
      <c r="T345" s="54"/>
      <c r="W345" s="54"/>
      <c r="X345" s="54"/>
      <c r="Y345" s="54"/>
      <c r="AB345" s="54"/>
      <c r="AC345" s="54"/>
      <c r="AD345" s="54"/>
      <c r="AG345" s="54"/>
      <c r="AH345" s="54"/>
      <c r="AI345" s="54"/>
    </row>
    <row r="346" spans="18:35" x14ac:dyDescent="0.2">
      <c r="R346" s="54"/>
      <c r="S346" s="54"/>
      <c r="T346" s="54"/>
      <c r="W346" s="54"/>
      <c r="X346" s="54"/>
      <c r="Y346" s="54"/>
      <c r="AB346" s="54"/>
      <c r="AC346" s="54"/>
      <c r="AD346" s="54"/>
      <c r="AG346" s="54"/>
      <c r="AH346" s="54"/>
      <c r="AI346" s="54"/>
    </row>
    <row r="347" spans="18:35" x14ac:dyDescent="0.2">
      <c r="R347" s="54"/>
      <c r="S347" s="54"/>
      <c r="T347" s="54"/>
      <c r="W347" s="54"/>
      <c r="X347" s="54"/>
      <c r="Y347" s="54"/>
      <c r="AB347" s="54"/>
      <c r="AC347" s="54"/>
      <c r="AD347" s="54"/>
      <c r="AG347" s="54"/>
      <c r="AH347" s="54"/>
      <c r="AI347" s="54"/>
    </row>
    <row r="348" spans="18:35" x14ac:dyDescent="0.2">
      <c r="R348" s="54"/>
      <c r="S348" s="54"/>
      <c r="T348" s="54"/>
      <c r="W348" s="54"/>
      <c r="X348" s="54"/>
      <c r="Y348" s="54"/>
      <c r="AB348" s="54"/>
      <c r="AC348" s="54"/>
      <c r="AD348" s="54"/>
      <c r="AG348" s="54"/>
      <c r="AH348" s="54"/>
      <c r="AI348" s="54"/>
    </row>
    <row r="349" spans="18:35" x14ac:dyDescent="0.2">
      <c r="R349" s="54"/>
      <c r="S349" s="54"/>
      <c r="T349" s="54"/>
      <c r="W349" s="54"/>
      <c r="X349" s="54"/>
      <c r="Y349" s="54"/>
      <c r="AB349" s="54"/>
      <c r="AC349" s="54"/>
      <c r="AD349" s="54"/>
      <c r="AG349" s="54"/>
      <c r="AH349" s="54"/>
      <c r="AI349" s="54"/>
    </row>
    <row r="350" spans="18:35" x14ac:dyDescent="0.2">
      <c r="R350" s="54"/>
      <c r="S350" s="54"/>
      <c r="T350" s="54"/>
      <c r="W350" s="54"/>
      <c r="X350" s="54"/>
      <c r="Y350" s="54"/>
      <c r="AB350" s="54"/>
      <c r="AC350" s="54"/>
      <c r="AD350" s="54"/>
      <c r="AG350" s="54"/>
      <c r="AH350" s="54"/>
      <c r="AI350" s="54"/>
    </row>
    <row r="351" spans="18:35" x14ac:dyDescent="0.2">
      <c r="R351" s="54"/>
      <c r="S351" s="54"/>
      <c r="T351" s="54"/>
      <c r="W351" s="54"/>
      <c r="X351" s="54"/>
      <c r="Y351" s="54"/>
      <c r="AB351" s="54"/>
      <c r="AC351" s="54"/>
      <c r="AD351" s="54"/>
      <c r="AG351" s="54"/>
      <c r="AH351" s="54"/>
      <c r="AI351" s="54"/>
    </row>
    <row r="352" spans="18:35" x14ac:dyDescent="0.2">
      <c r="R352" s="54"/>
      <c r="S352" s="54"/>
      <c r="T352" s="54"/>
      <c r="W352" s="54"/>
      <c r="X352" s="54"/>
      <c r="Y352" s="54"/>
      <c r="AB352" s="54"/>
      <c r="AC352" s="54"/>
      <c r="AD352" s="54"/>
      <c r="AG352" s="54"/>
      <c r="AH352" s="54"/>
      <c r="AI352" s="54"/>
    </row>
    <row r="353" spans="18:35" x14ac:dyDescent="0.2">
      <c r="R353" s="54"/>
      <c r="S353" s="54"/>
      <c r="T353" s="54"/>
      <c r="W353" s="54"/>
      <c r="X353" s="54"/>
      <c r="Y353" s="54"/>
      <c r="AB353" s="54"/>
      <c r="AC353" s="54"/>
      <c r="AD353" s="54"/>
      <c r="AG353" s="54"/>
      <c r="AH353" s="54"/>
      <c r="AI353" s="54"/>
    </row>
    <row r="354" spans="18:35" x14ac:dyDescent="0.2">
      <c r="R354" s="54"/>
      <c r="S354" s="54"/>
      <c r="T354" s="54"/>
      <c r="W354" s="54"/>
      <c r="X354" s="54"/>
      <c r="Y354" s="54"/>
      <c r="AB354" s="54"/>
      <c r="AC354" s="54"/>
      <c r="AD354" s="54"/>
      <c r="AG354" s="54"/>
      <c r="AH354" s="54"/>
      <c r="AI354" s="54"/>
    </row>
    <row r="355" spans="18:35" x14ac:dyDescent="0.2">
      <c r="R355" s="54"/>
      <c r="S355" s="54"/>
      <c r="T355" s="54"/>
      <c r="W355" s="54"/>
      <c r="X355" s="54"/>
      <c r="Y355" s="54"/>
      <c r="AB355" s="54"/>
      <c r="AC355" s="54"/>
      <c r="AD355" s="54"/>
      <c r="AG355" s="54"/>
      <c r="AH355" s="54"/>
      <c r="AI355" s="54"/>
    </row>
    <row r="356" spans="18:35" x14ac:dyDescent="0.2">
      <c r="R356" s="54"/>
      <c r="S356" s="54"/>
      <c r="T356" s="54"/>
      <c r="W356" s="54"/>
      <c r="X356" s="54"/>
      <c r="Y356" s="54"/>
      <c r="AB356" s="54"/>
      <c r="AC356" s="54"/>
      <c r="AD356" s="54"/>
      <c r="AG356" s="54"/>
      <c r="AH356" s="54"/>
      <c r="AI356" s="54"/>
    </row>
    <row r="357" spans="18:35" x14ac:dyDescent="0.2">
      <c r="R357" s="54"/>
      <c r="S357" s="54"/>
      <c r="T357" s="54"/>
      <c r="W357" s="54"/>
      <c r="X357" s="54"/>
      <c r="Y357" s="54"/>
      <c r="AB357" s="54"/>
      <c r="AC357" s="54"/>
      <c r="AD357" s="54"/>
      <c r="AG357" s="54"/>
      <c r="AH357" s="54"/>
      <c r="AI357" s="54"/>
    </row>
    <row r="358" spans="18:35" x14ac:dyDescent="0.2">
      <c r="R358" s="54"/>
      <c r="S358" s="54"/>
      <c r="T358" s="54"/>
      <c r="W358" s="54"/>
      <c r="X358" s="54"/>
      <c r="Y358" s="54"/>
      <c r="AB358" s="54"/>
      <c r="AC358" s="54"/>
      <c r="AD358" s="54"/>
      <c r="AG358" s="54"/>
      <c r="AH358" s="54"/>
      <c r="AI358" s="54"/>
    </row>
    <row r="359" spans="18:35" x14ac:dyDescent="0.2">
      <c r="R359" s="54"/>
      <c r="S359" s="54"/>
      <c r="T359" s="54"/>
      <c r="W359" s="54"/>
      <c r="X359" s="54"/>
      <c r="Y359" s="54"/>
      <c r="AB359" s="54"/>
      <c r="AC359" s="54"/>
      <c r="AD359" s="54"/>
      <c r="AG359" s="54"/>
      <c r="AH359" s="54"/>
      <c r="AI359" s="54"/>
    </row>
    <row r="360" spans="18:35" x14ac:dyDescent="0.2">
      <c r="R360" s="54"/>
      <c r="S360" s="54"/>
      <c r="T360" s="54"/>
      <c r="W360" s="54"/>
      <c r="X360" s="54"/>
      <c r="Y360" s="54"/>
      <c r="AB360" s="54"/>
      <c r="AC360" s="54"/>
      <c r="AD360" s="54"/>
      <c r="AG360" s="54"/>
      <c r="AH360" s="54"/>
      <c r="AI360" s="54"/>
    </row>
    <row r="361" spans="18:35" x14ac:dyDescent="0.2">
      <c r="R361" s="54"/>
      <c r="S361" s="54"/>
      <c r="T361" s="54"/>
      <c r="W361" s="54"/>
      <c r="X361" s="54"/>
      <c r="Y361" s="54"/>
      <c r="AB361" s="54"/>
      <c r="AC361" s="54"/>
      <c r="AD361" s="54"/>
      <c r="AG361" s="54"/>
      <c r="AH361" s="54"/>
      <c r="AI361" s="54"/>
    </row>
    <row r="362" spans="18:35" x14ac:dyDescent="0.2">
      <c r="R362" s="54"/>
      <c r="S362" s="54"/>
      <c r="T362" s="54"/>
      <c r="W362" s="54"/>
      <c r="X362" s="54"/>
      <c r="Y362" s="54"/>
      <c r="AB362" s="54"/>
      <c r="AC362" s="54"/>
      <c r="AD362" s="54"/>
      <c r="AG362" s="54"/>
      <c r="AH362" s="54"/>
      <c r="AI362" s="54"/>
    </row>
    <row r="363" spans="18:35" x14ac:dyDescent="0.2">
      <c r="R363" s="54"/>
      <c r="S363" s="54"/>
      <c r="T363" s="54"/>
      <c r="W363" s="54"/>
      <c r="X363" s="54"/>
      <c r="Y363" s="54"/>
      <c r="AB363" s="54"/>
      <c r="AC363" s="54"/>
      <c r="AD363" s="54"/>
      <c r="AG363" s="54"/>
      <c r="AH363" s="54"/>
      <c r="AI363" s="54"/>
    </row>
    <row r="364" spans="18:35" x14ac:dyDescent="0.2">
      <c r="R364" s="54"/>
      <c r="S364" s="54"/>
      <c r="T364" s="54"/>
      <c r="W364" s="54"/>
      <c r="X364" s="54"/>
      <c r="Y364" s="54"/>
      <c r="AB364" s="54"/>
      <c r="AC364" s="54"/>
      <c r="AD364" s="54"/>
      <c r="AG364" s="54"/>
      <c r="AH364" s="54"/>
      <c r="AI364" s="54"/>
    </row>
    <row r="365" spans="18:35" x14ac:dyDescent="0.2">
      <c r="R365" s="54"/>
      <c r="S365" s="54"/>
      <c r="T365" s="54"/>
      <c r="W365" s="54"/>
      <c r="X365" s="54"/>
      <c r="Y365" s="54"/>
      <c r="AB365" s="54"/>
      <c r="AC365" s="54"/>
      <c r="AD365" s="54"/>
      <c r="AG365" s="54"/>
      <c r="AH365" s="54"/>
      <c r="AI365" s="54"/>
    </row>
    <row r="366" spans="18:35" x14ac:dyDescent="0.2">
      <c r="R366" s="54"/>
      <c r="S366" s="54"/>
      <c r="T366" s="54"/>
      <c r="W366" s="54"/>
      <c r="X366" s="54"/>
      <c r="Y366" s="54"/>
      <c r="AB366" s="54"/>
      <c r="AC366" s="54"/>
      <c r="AD366" s="54"/>
      <c r="AG366" s="54"/>
      <c r="AH366" s="54"/>
      <c r="AI366" s="54"/>
    </row>
    <row r="367" spans="18:35" x14ac:dyDescent="0.2">
      <c r="R367" s="54"/>
      <c r="S367" s="54"/>
      <c r="T367" s="54"/>
      <c r="W367" s="54"/>
      <c r="X367" s="54"/>
      <c r="Y367" s="54"/>
      <c r="AB367" s="54"/>
      <c r="AC367" s="54"/>
      <c r="AD367" s="54"/>
      <c r="AG367" s="54"/>
      <c r="AH367" s="54"/>
      <c r="AI367" s="54"/>
    </row>
    <row r="368" spans="18:35" x14ac:dyDescent="0.2">
      <c r="R368" s="54"/>
      <c r="S368" s="54"/>
      <c r="T368" s="54"/>
      <c r="W368" s="54"/>
      <c r="X368" s="54"/>
      <c r="Y368" s="54"/>
      <c r="AB368" s="54"/>
      <c r="AC368" s="54"/>
      <c r="AD368" s="54"/>
      <c r="AG368" s="54"/>
      <c r="AH368" s="54"/>
      <c r="AI368" s="54"/>
    </row>
    <row r="369" spans="18:35" x14ac:dyDescent="0.2">
      <c r="R369" s="54"/>
      <c r="S369" s="54"/>
      <c r="T369" s="54"/>
      <c r="W369" s="54"/>
      <c r="X369" s="54"/>
      <c r="Y369" s="54"/>
      <c r="AB369" s="54"/>
      <c r="AC369" s="54"/>
      <c r="AD369" s="54"/>
      <c r="AG369" s="54"/>
      <c r="AH369" s="54"/>
      <c r="AI369" s="54"/>
    </row>
    <row r="370" spans="18:35" x14ac:dyDescent="0.2">
      <c r="R370" s="54"/>
      <c r="S370" s="54"/>
      <c r="T370" s="54"/>
      <c r="W370" s="54"/>
      <c r="X370" s="54"/>
      <c r="Y370" s="54"/>
      <c r="AB370" s="54"/>
      <c r="AC370" s="54"/>
      <c r="AD370" s="54"/>
      <c r="AG370" s="54"/>
      <c r="AH370" s="54"/>
      <c r="AI370" s="54"/>
    </row>
    <row r="371" spans="18:35" x14ac:dyDescent="0.2">
      <c r="R371" s="54"/>
      <c r="S371" s="54"/>
      <c r="T371" s="54"/>
      <c r="W371" s="54"/>
      <c r="X371" s="54"/>
      <c r="Y371" s="54"/>
      <c r="AB371" s="54"/>
      <c r="AC371" s="54"/>
      <c r="AD371" s="54"/>
      <c r="AG371" s="54"/>
      <c r="AH371" s="54"/>
      <c r="AI371" s="54"/>
    </row>
    <row r="372" spans="18:35" x14ac:dyDescent="0.2">
      <c r="R372" s="54"/>
      <c r="S372" s="54"/>
      <c r="T372" s="54"/>
      <c r="W372" s="54"/>
      <c r="X372" s="54"/>
      <c r="Y372" s="54"/>
      <c r="AB372" s="54"/>
      <c r="AC372" s="54"/>
      <c r="AD372" s="54"/>
      <c r="AG372" s="54"/>
      <c r="AH372" s="54"/>
      <c r="AI372" s="54"/>
    </row>
    <row r="373" spans="18:35" x14ac:dyDescent="0.2">
      <c r="R373" s="54"/>
      <c r="S373" s="54"/>
      <c r="T373" s="54"/>
      <c r="W373" s="54"/>
      <c r="X373" s="54"/>
      <c r="Y373" s="54"/>
      <c r="AB373" s="54"/>
      <c r="AC373" s="54"/>
      <c r="AD373" s="54"/>
      <c r="AG373" s="54"/>
      <c r="AH373" s="54"/>
      <c r="AI373" s="54"/>
    </row>
    <row r="374" spans="18:35" x14ac:dyDescent="0.2">
      <c r="R374" s="54"/>
      <c r="S374" s="54"/>
      <c r="T374" s="54"/>
      <c r="W374" s="54"/>
      <c r="X374" s="54"/>
      <c r="Y374" s="54"/>
      <c r="AB374" s="54"/>
      <c r="AC374" s="54"/>
      <c r="AD374" s="54"/>
      <c r="AG374" s="54"/>
      <c r="AH374" s="54"/>
      <c r="AI374" s="54"/>
    </row>
    <row r="375" spans="18:35" x14ac:dyDescent="0.2">
      <c r="R375" s="54"/>
      <c r="S375" s="54"/>
      <c r="T375" s="54"/>
      <c r="W375" s="54"/>
      <c r="X375" s="54"/>
      <c r="Y375" s="54"/>
      <c r="AB375" s="54"/>
      <c r="AC375" s="54"/>
      <c r="AD375" s="54"/>
      <c r="AG375" s="54"/>
      <c r="AH375" s="54"/>
      <c r="AI375" s="54"/>
    </row>
    <row r="376" spans="18:35" x14ac:dyDescent="0.2">
      <c r="R376" s="54"/>
      <c r="S376" s="54"/>
      <c r="T376" s="54"/>
      <c r="W376" s="54"/>
      <c r="X376" s="54"/>
      <c r="Y376" s="54"/>
      <c r="AB376" s="54"/>
      <c r="AC376" s="54"/>
      <c r="AD376" s="54"/>
      <c r="AG376" s="54"/>
      <c r="AH376" s="54"/>
      <c r="AI376" s="54"/>
    </row>
    <row r="377" spans="18:35" x14ac:dyDescent="0.2">
      <c r="R377" s="54"/>
      <c r="S377" s="54"/>
      <c r="T377" s="54"/>
      <c r="W377" s="54"/>
      <c r="X377" s="54"/>
      <c r="Y377" s="54"/>
      <c r="AB377" s="54"/>
      <c r="AC377" s="54"/>
      <c r="AD377" s="54"/>
      <c r="AG377" s="54"/>
      <c r="AH377" s="54"/>
      <c r="AI377" s="54"/>
    </row>
    <row r="378" spans="18:35" x14ac:dyDescent="0.2">
      <c r="R378" s="54"/>
      <c r="S378" s="54"/>
      <c r="T378" s="54"/>
      <c r="W378" s="54"/>
      <c r="X378" s="54"/>
      <c r="Y378" s="54"/>
      <c r="AB378" s="54"/>
      <c r="AC378" s="54"/>
      <c r="AD378" s="54"/>
      <c r="AG378" s="54"/>
      <c r="AH378" s="54"/>
      <c r="AI378" s="54"/>
    </row>
    <row r="379" spans="18:35" x14ac:dyDescent="0.2">
      <c r="R379" s="54"/>
      <c r="S379" s="54"/>
      <c r="T379" s="54"/>
      <c r="W379" s="54"/>
      <c r="X379" s="54"/>
      <c r="Y379" s="54"/>
      <c r="AB379" s="54"/>
      <c r="AC379" s="54"/>
      <c r="AD379" s="54"/>
      <c r="AG379" s="54"/>
      <c r="AH379" s="54"/>
      <c r="AI379" s="54"/>
    </row>
    <row r="380" spans="18:35" x14ac:dyDescent="0.2">
      <c r="R380" s="54"/>
      <c r="S380" s="54"/>
      <c r="T380" s="54"/>
      <c r="W380" s="54"/>
      <c r="X380" s="54"/>
      <c r="Y380" s="54"/>
      <c r="AB380" s="54"/>
      <c r="AC380" s="54"/>
      <c r="AD380" s="54"/>
      <c r="AG380" s="54"/>
      <c r="AH380" s="54"/>
      <c r="AI380" s="54"/>
    </row>
    <row r="381" spans="18:35" x14ac:dyDescent="0.2">
      <c r="R381" s="54"/>
      <c r="S381" s="54"/>
      <c r="T381" s="54"/>
      <c r="W381" s="54"/>
      <c r="X381" s="54"/>
      <c r="Y381" s="54"/>
      <c r="AB381" s="54"/>
      <c r="AC381" s="54"/>
      <c r="AD381" s="54"/>
      <c r="AG381" s="54"/>
      <c r="AH381" s="54"/>
      <c r="AI381" s="54"/>
    </row>
    <row r="382" spans="18:35" x14ac:dyDescent="0.2">
      <c r="R382" s="54"/>
      <c r="S382" s="54"/>
      <c r="T382" s="54"/>
      <c r="W382" s="54"/>
      <c r="X382" s="54"/>
      <c r="Y382" s="54"/>
      <c r="AB382" s="54"/>
      <c r="AC382" s="54"/>
      <c r="AD382" s="54"/>
      <c r="AG382" s="54"/>
      <c r="AH382" s="54"/>
      <c r="AI382" s="54"/>
    </row>
    <row r="383" spans="18:35" x14ac:dyDescent="0.2">
      <c r="R383" s="54"/>
      <c r="S383" s="54"/>
      <c r="T383" s="54"/>
      <c r="W383" s="54"/>
      <c r="X383" s="54"/>
      <c r="Y383" s="54"/>
      <c r="AB383" s="54"/>
      <c r="AC383" s="54"/>
      <c r="AD383" s="54"/>
      <c r="AG383" s="54"/>
      <c r="AH383" s="54"/>
      <c r="AI383" s="54"/>
    </row>
    <row r="384" spans="18:35" x14ac:dyDescent="0.2">
      <c r="R384" s="54"/>
      <c r="S384" s="54"/>
      <c r="T384" s="54"/>
      <c r="W384" s="54"/>
      <c r="X384" s="54"/>
      <c r="Y384" s="54"/>
      <c r="AB384" s="54"/>
      <c r="AC384" s="54"/>
      <c r="AD384" s="54"/>
      <c r="AG384" s="54"/>
      <c r="AH384" s="54"/>
      <c r="AI384" s="54"/>
    </row>
    <row r="385" spans="18:35" x14ac:dyDescent="0.2">
      <c r="R385" s="54"/>
      <c r="S385" s="54"/>
      <c r="T385" s="54"/>
      <c r="W385" s="54"/>
      <c r="X385" s="54"/>
      <c r="Y385" s="54"/>
      <c r="AB385" s="54"/>
      <c r="AC385" s="54"/>
      <c r="AD385" s="54"/>
      <c r="AG385" s="54"/>
      <c r="AH385" s="54"/>
      <c r="AI385" s="54"/>
    </row>
    <row r="386" spans="18:35" x14ac:dyDescent="0.2">
      <c r="R386" s="54"/>
      <c r="S386" s="54"/>
      <c r="T386" s="54"/>
      <c r="W386" s="54"/>
      <c r="X386" s="54"/>
      <c r="Y386" s="54"/>
      <c r="AB386" s="54"/>
      <c r="AC386" s="54"/>
      <c r="AD386" s="54"/>
      <c r="AG386" s="54"/>
      <c r="AH386" s="54"/>
      <c r="AI386" s="54"/>
    </row>
    <row r="387" spans="18:35" x14ac:dyDescent="0.2">
      <c r="R387" s="54"/>
      <c r="S387" s="54"/>
      <c r="T387" s="54"/>
      <c r="W387" s="54"/>
      <c r="X387" s="54"/>
      <c r="Y387" s="54"/>
      <c r="AB387" s="54"/>
      <c r="AC387" s="54"/>
      <c r="AD387" s="54"/>
      <c r="AG387" s="54"/>
      <c r="AH387" s="54"/>
      <c r="AI387" s="54"/>
    </row>
    <row r="388" spans="18:35" x14ac:dyDescent="0.2">
      <c r="R388" s="54"/>
      <c r="S388" s="54"/>
      <c r="T388" s="54"/>
      <c r="W388" s="54"/>
      <c r="X388" s="54"/>
      <c r="Y388" s="54"/>
      <c r="AB388" s="54"/>
      <c r="AC388" s="54"/>
      <c r="AD388" s="54"/>
      <c r="AG388" s="54"/>
      <c r="AH388" s="54"/>
      <c r="AI388" s="54"/>
    </row>
    <row r="389" spans="18:35" x14ac:dyDescent="0.2">
      <c r="R389" s="54"/>
      <c r="S389" s="54"/>
      <c r="T389" s="54"/>
      <c r="W389" s="54"/>
      <c r="X389" s="54"/>
      <c r="Y389" s="54"/>
      <c r="AB389" s="54"/>
      <c r="AC389" s="54"/>
      <c r="AD389" s="54"/>
      <c r="AG389" s="54"/>
      <c r="AH389" s="54"/>
      <c r="AI389" s="54"/>
    </row>
    <row r="390" spans="18:35" x14ac:dyDescent="0.2">
      <c r="R390" s="54"/>
      <c r="S390" s="54"/>
      <c r="T390" s="54"/>
      <c r="W390" s="54"/>
      <c r="X390" s="54"/>
      <c r="Y390" s="54"/>
      <c r="AB390" s="54"/>
      <c r="AC390" s="54"/>
      <c r="AD390" s="54"/>
      <c r="AG390" s="54"/>
      <c r="AH390" s="54"/>
      <c r="AI390" s="54"/>
    </row>
    <row r="391" spans="18:35" x14ac:dyDescent="0.2">
      <c r="R391" s="54"/>
      <c r="S391" s="54"/>
      <c r="T391" s="54"/>
      <c r="W391" s="54"/>
      <c r="X391" s="54"/>
      <c r="Y391" s="54"/>
      <c r="AB391" s="54"/>
      <c r="AC391" s="54"/>
      <c r="AD391" s="54"/>
      <c r="AG391" s="54"/>
      <c r="AH391" s="54"/>
      <c r="AI391" s="54"/>
    </row>
    <row r="392" spans="18:35" x14ac:dyDescent="0.2">
      <c r="R392" s="54"/>
      <c r="S392" s="54"/>
      <c r="T392" s="54"/>
      <c r="W392" s="54"/>
      <c r="X392" s="54"/>
      <c r="Y392" s="54"/>
      <c r="AB392" s="54"/>
      <c r="AC392" s="54"/>
      <c r="AD392" s="54"/>
      <c r="AG392" s="54"/>
      <c r="AH392" s="54"/>
      <c r="AI392" s="54"/>
    </row>
    <row r="393" spans="18:35" x14ac:dyDescent="0.2">
      <c r="R393" s="54"/>
      <c r="S393" s="54"/>
      <c r="T393" s="54"/>
      <c r="W393" s="54"/>
      <c r="X393" s="54"/>
      <c r="Y393" s="54"/>
      <c r="AB393" s="54"/>
      <c r="AC393" s="54"/>
      <c r="AD393" s="54"/>
      <c r="AG393" s="54"/>
      <c r="AH393" s="54"/>
      <c r="AI393" s="54"/>
    </row>
    <row r="394" spans="18:35" x14ac:dyDescent="0.2">
      <c r="R394" s="54"/>
      <c r="S394" s="54"/>
      <c r="T394" s="54"/>
      <c r="W394" s="54"/>
      <c r="X394" s="54"/>
      <c r="Y394" s="54"/>
      <c r="AB394" s="54"/>
      <c r="AC394" s="54"/>
      <c r="AD394" s="54"/>
      <c r="AG394" s="54"/>
      <c r="AH394" s="54"/>
      <c r="AI394" s="54"/>
    </row>
    <row r="395" spans="18:35" x14ac:dyDescent="0.2">
      <c r="R395" s="54"/>
      <c r="S395" s="54"/>
      <c r="T395" s="54"/>
      <c r="W395" s="54"/>
      <c r="X395" s="54"/>
      <c r="Y395" s="54"/>
      <c r="AB395" s="54"/>
      <c r="AC395" s="54"/>
      <c r="AD395" s="54"/>
      <c r="AG395" s="54"/>
      <c r="AH395" s="54"/>
      <c r="AI395" s="54"/>
    </row>
    <row r="396" spans="18:35" x14ac:dyDescent="0.2">
      <c r="R396" s="54"/>
      <c r="S396" s="54"/>
      <c r="T396" s="54"/>
      <c r="W396" s="54"/>
      <c r="X396" s="54"/>
      <c r="Y396" s="54"/>
      <c r="AB396" s="54"/>
      <c r="AC396" s="54"/>
      <c r="AD396" s="54"/>
      <c r="AG396" s="54"/>
      <c r="AH396" s="54"/>
      <c r="AI396" s="54"/>
    </row>
    <row r="397" spans="18:35" x14ac:dyDescent="0.2">
      <c r="R397" s="54"/>
      <c r="S397" s="54"/>
      <c r="T397" s="54"/>
      <c r="W397" s="54"/>
      <c r="X397" s="54"/>
      <c r="Y397" s="54"/>
      <c r="AB397" s="54"/>
      <c r="AC397" s="54"/>
      <c r="AD397" s="54"/>
      <c r="AG397" s="54"/>
      <c r="AH397" s="54"/>
      <c r="AI397" s="54"/>
    </row>
    <row r="398" spans="18:35" x14ac:dyDescent="0.2">
      <c r="R398" s="54"/>
      <c r="S398" s="54"/>
      <c r="T398" s="54"/>
      <c r="W398" s="54"/>
      <c r="X398" s="54"/>
      <c r="Y398" s="54"/>
      <c r="AB398" s="54"/>
      <c r="AC398" s="54"/>
      <c r="AD398" s="54"/>
      <c r="AG398" s="54"/>
      <c r="AH398" s="54"/>
      <c r="AI398" s="54"/>
    </row>
    <row r="399" spans="18:35" x14ac:dyDescent="0.2">
      <c r="R399" s="54"/>
      <c r="S399" s="54"/>
      <c r="T399" s="54"/>
      <c r="W399" s="54"/>
      <c r="X399" s="54"/>
      <c r="Y399" s="54"/>
      <c r="AB399" s="54"/>
      <c r="AC399" s="54"/>
      <c r="AD399" s="54"/>
      <c r="AG399" s="54"/>
      <c r="AH399" s="54"/>
      <c r="AI399" s="54"/>
    </row>
    <row r="400" spans="18:35" x14ac:dyDescent="0.2">
      <c r="R400" s="54"/>
      <c r="S400" s="54"/>
      <c r="T400" s="54"/>
      <c r="W400" s="54"/>
      <c r="X400" s="54"/>
      <c r="Y400" s="54"/>
      <c r="AB400" s="54"/>
      <c r="AC400" s="54"/>
      <c r="AD400" s="54"/>
      <c r="AG400" s="54"/>
      <c r="AH400" s="54"/>
      <c r="AI400" s="54"/>
    </row>
    <row r="401" spans="18:35" x14ac:dyDescent="0.2">
      <c r="R401" s="54"/>
      <c r="S401" s="54"/>
      <c r="T401" s="54"/>
      <c r="W401" s="54"/>
      <c r="X401" s="54"/>
      <c r="Y401" s="54"/>
      <c r="AB401" s="54"/>
      <c r="AC401" s="54"/>
      <c r="AD401" s="54"/>
      <c r="AG401" s="54"/>
      <c r="AH401" s="54"/>
      <c r="AI401" s="54"/>
    </row>
    <row r="402" spans="18:35" x14ac:dyDescent="0.2">
      <c r="R402" s="54"/>
      <c r="S402" s="54"/>
      <c r="T402" s="54"/>
      <c r="W402" s="54"/>
      <c r="X402" s="54"/>
      <c r="Y402" s="54"/>
      <c r="AB402" s="54"/>
      <c r="AC402" s="54"/>
      <c r="AD402" s="54"/>
      <c r="AG402" s="54"/>
      <c r="AH402" s="54"/>
      <c r="AI402" s="54"/>
    </row>
    <row r="403" spans="18:35" x14ac:dyDescent="0.2">
      <c r="R403" s="54"/>
      <c r="S403" s="54"/>
      <c r="T403" s="54"/>
      <c r="W403" s="54"/>
      <c r="X403" s="54"/>
      <c r="Y403" s="54"/>
      <c r="AB403" s="54"/>
      <c r="AC403" s="54"/>
      <c r="AD403" s="54"/>
      <c r="AG403" s="54"/>
      <c r="AH403" s="54"/>
      <c r="AI403" s="54"/>
    </row>
    <row r="404" spans="18:35" x14ac:dyDescent="0.2">
      <c r="R404" s="54"/>
      <c r="S404" s="54"/>
      <c r="T404" s="54"/>
      <c r="W404" s="54"/>
      <c r="X404" s="54"/>
      <c r="Y404" s="54"/>
      <c r="AB404" s="54"/>
      <c r="AC404" s="54"/>
      <c r="AD404" s="54"/>
      <c r="AG404" s="54"/>
      <c r="AH404" s="54"/>
      <c r="AI404" s="54"/>
    </row>
    <row r="405" spans="18:35" x14ac:dyDescent="0.2">
      <c r="R405" s="54"/>
      <c r="S405" s="54"/>
      <c r="T405" s="54"/>
      <c r="W405" s="54"/>
      <c r="X405" s="54"/>
      <c r="Y405" s="54"/>
      <c r="AB405" s="54"/>
      <c r="AC405" s="54"/>
      <c r="AD405" s="54"/>
      <c r="AG405" s="54"/>
      <c r="AH405" s="54"/>
      <c r="AI405" s="54"/>
    </row>
    <row r="406" spans="18:35" x14ac:dyDescent="0.2">
      <c r="R406" s="54"/>
      <c r="S406" s="54"/>
      <c r="T406" s="54"/>
      <c r="W406" s="54"/>
      <c r="X406" s="54"/>
      <c r="Y406" s="54"/>
      <c r="AB406" s="54"/>
      <c r="AC406" s="54"/>
      <c r="AD406" s="54"/>
      <c r="AG406" s="54"/>
      <c r="AH406" s="54"/>
      <c r="AI406" s="54"/>
    </row>
    <row r="407" spans="18:35" x14ac:dyDescent="0.2">
      <c r="R407" s="54"/>
      <c r="S407" s="54"/>
      <c r="T407" s="54"/>
      <c r="W407" s="54"/>
      <c r="X407" s="54"/>
      <c r="Y407" s="54"/>
      <c r="AB407" s="54"/>
      <c r="AC407" s="54"/>
      <c r="AD407" s="54"/>
      <c r="AG407" s="54"/>
      <c r="AH407" s="54"/>
      <c r="AI407" s="54"/>
    </row>
    <row r="408" spans="18:35" x14ac:dyDescent="0.2">
      <c r="R408" s="54"/>
      <c r="S408" s="54"/>
      <c r="T408" s="54"/>
      <c r="W408" s="54"/>
      <c r="X408" s="54"/>
      <c r="Y408" s="54"/>
      <c r="AB408" s="54"/>
      <c r="AC408" s="54"/>
      <c r="AD408" s="54"/>
      <c r="AG408" s="54"/>
      <c r="AH408" s="54"/>
      <c r="AI408" s="54"/>
    </row>
    <row r="409" spans="18:35" x14ac:dyDescent="0.2">
      <c r="R409" s="54"/>
      <c r="S409" s="54"/>
      <c r="T409" s="54"/>
      <c r="W409" s="54"/>
      <c r="X409" s="54"/>
      <c r="Y409" s="54"/>
      <c r="AB409" s="54"/>
      <c r="AC409" s="54"/>
      <c r="AD409" s="54"/>
      <c r="AG409" s="54"/>
      <c r="AH409" s="54"/>
      <c r="AI409" s="54"/>
    </row>
    <row r="410" spans="18:35" x14ac:dyDescent="0.2">
      <c r="R410" s="54"/>
      <c r="S410" s="54"/>
      <c r="T410" s="54"/>
      <c r="W410" s="54"/>
      <c r="X410" s="54"/>
      <c r="Y410" s="54"/>
      <c r="AB410" s="54"/>
      <c r="AC410" s="54"/>
      <c r="AD410" s="54"/>
      <c r="AG410" s="54"/>
      <c r="AH410" s="54"/>
      <c r="AI410" s="54"/>
    </row>
    <row r="411" spans="18:35" x14ac:dyDescent="0.2">
      <c r="R411" s="54"/>
      <c r="S411" s="54"/>
      <c r="T411" s="54"/>
      <c r="W411" s="54"/>
      <c r="X411" s="54"/>
      <c r="Y411" s="54"/>
      <c r="AB411" s="54"/>
      <c r="AC411" s="54"/>
      <c r="AD411" s="54"/>
      <c r="AG411" s="54"/>
      <c r="AH411" s="54"/>
      <c r="AI411" s="54"/>
    </row>
    <row r="412" spans="18:35" x14ac:dyDescent="0.2">
      <c r="R412" s="54"/>
      <c r="S412" s="54"/>
      <c r="T412" s="54"/>
      <c r="W412" s="54"/>
      <c r="X412" s="54"/>
      <c r="Y412" s="54"/>
      <c r="AB412" s="54"/>
      <c r="AC412" s="54"/>
      <c r="AD412" s="54"/>
      <c r="AG412" s="54"/>
      <c r="AH412" s="54"/>
      <c r="AI412" s="54"/>
    </row>
    <row r="413" spans="18:35" x14ac:dyDescent="0.2">
      <c r="R413" s="54"/>
      <c r="S413" s="54"/>
      <c r="T413" s="54"/>
      <c r="W413" s="54"/>
      <c r="X413" s="54"/>
      <c r="Y413" s="54"/>
      <c r="AB413" s="54"/>
      <c r="AC413" s="54"/>
      <c r="AD413" s="54"/>
      <c r="AG413" s="54"/>
      <c r="AH413" s="54"/>
      <c r="AI413" s="54"/>
    </row>
    <row r="414" spans="18:35" x14ac:dyDescent="0.2">
      <c r="R414" s="54"/>
      <c r="S414" s="54"/>
      <c r="T414" s="54"/>
      <c r="W414" s="54"/>
      <c r="X414" s="54"/>
      <c r="Y414" s="54"/>
      <c r="AB414" s="54"/>
      <c r="AC414" s="54"/>
      <c r="AD414" s="54"/>
      <c r="AG414" s="54"/>
      <c r="AH414" s="54"/>
      <c r="AI414" s="54"/>
    </row>
    <row r="415" spans="18:35" x14ac:dyDescent="0.2">
      <c r="R415" s="54"/>
      <c r="S415" s="54"/>
      <c r="T415" s="54"/>
      <c r="W415" s="54"/>
      <c r="X415" s="54"/>
      <c r="Y415" s="54"/>
      <c r="AB415" s="54"/>
      <c r="AC415" s="54"/>
      <c r="AD415" s="54"/>
      <c r="AG415" s="54"/>
      <c r="AH415" s="54"/>
      <c r="AI415" s="54"/>
    </row>
    <row r="416" spans="18:35" x14ac:dyDescent="0.2">
      <c r="R416" s="54"/>
      <c r="S416" s="54"/>
      <c r="T416" s="54"/>
      <c r="W416" s="54"/>
      <c r="X416" s="54"/>
      <c r="Y416" s="54"/>
      <c r="AB416" s="54"/>
      <c r="AC416" s="54"/>
      <c r="AD416" s="54"/>
      <c r="AG416" s="54"/>
      <c r="AH416" s="54"/>
      <c r="AI416" s="54"/>
    </row>
    <row r="417" spans="18:35" x14ac:dyDescent="0.2">
      <c r="R417" s="54"/>
      <c r="S417" s="54"/>
      <c r="T417" s="54"/>
      <c r="W417" s="54"/>
      <c r="X417" s="54"/>
      <c r="Y417" s="54"/>
      <c r="AB417" s="54"/>
      <c r="AC417" s="54"/>
      <c r="AD417" s="54"/>
      <c r="AG417" s="54"/>
      <c r="AH417" s="54"/>
      <c r="AI417" s="54"/>
    </row>
    <row r="418" spans="18:35" x14ac:dyDescent="0.2">
      <c r="R418" s="54"/>
      <c r="S418" s="54"/>
      <c r="T418" s="54"/>
      <c r="W418" s="54"/>
      <c r="X418" s="54"/>
      <c r="Y418" s="54"/>
      <c r="AB418" s="54"/>
      <c r="AC418" s="54"/>
      <c r="AD418" s="54"/>
      <c r="AG418" s="54"/>
      <c r="AH418" s="54"/>
      <c r="AI418" s="54"/>
    </row>
    <row r="419" spans="18:35" x14ac:dyDescent="0.2">
      <c r="R419" s="54"/>
      <c r="S419" s="54"/>
      <c r="T419" s="54"/>
      <c r="W419" s="54"/>
      <c r="X419" s="54"/>
      <c r="Y419" s="54"/>
      <c r="AB419" s="54"/>
      <c r="AC419" s="54"/>
      <c r="AD419" s="54"/>
      <c r="AG419" s="54"/>
      <c r="AH419" s="54"/>
      <c r="AI419" s="54"/>
    </row>
    <row r="420" spans="18:35" x14ac:dyDescent="0.2">
      <c r="R420" s="54"/>
      <c r="S420" s="54"/>
      <c r="T420" s="54"/>
      <c r="W420" s="54"/>
      <c r="X420" s="54"/>
      <c r="Y420" s="54"/>
      <c r="AB420" s="54"/>
      <c r="AC420" s="54"/>
      <c r="AD420" s="54"/>
      <c r="AG420" s="54"/>
      <c r="AH420" s="54"/>
      <c r="AI420" s="54"/>
    </row>
    <row r="421" spans="18:35" x14ac:dyDescent="0.2">
      <c r="R421" s="54"/>
      <c r="S421" s="54"/>
      <c r="T421" s="54"/>
      <c r="W421" s="54"/>
      <c r="X421" s="54"/>
      <c r="Y421" s="54"/>
      <c r="AB421" s="54"/>
      <c r="AC421" s="54"/>
      <c r="AD421" s="54"/>
      <c r="AG421" s="54"/>
      <c r="AH421" s="54"/>
      <c r="AI421" s="54"/>
    </row>
    <row r="422" spans="18:35" x14ac:dyDescent="0.2">
      <c r="R422" s="54"/>
      <c r="S422" s="54"/>
      <c r="T422" s="54"/>
      <c r="W422" s="54"/>
      <c r="X422" s="54"/>
      <c r="Y422" s="54"/>
      <c r="AB422" s="54"/>
      <c r="AC422" s="54"/>
      <c r="AD422" s="54"/>
      <c r="AG422" s="54"/>
      <c r="AH422" s="54"/>
      <c r="AI422" s="54"/>
    </row>
    <row r="423" spans="18:35" x14ac:dyDescent="0.2">
      <c r="R423" s="54"/>
      <c r="S423" s="54"/>
      <c r="T423" s="54"/>
      <c r="W423" s="54"/>
      <c r="X423" s="54"/>
      <c r="Y423" s="54"/>
      <c r="AB423" s="54"/>
      <c r="AC423" s="54"/>
      <c r="AD423" s="54"/>
      <c r="AG423" s="54"/>
      <c r="AH423" s="54"/>
      <c r="AI423" s="54"/>
    </row>
    <row r="424" spans="18:35" x14ac:dyDescent="0.2">
      <c r="R424" s="54"/>
      <c r="S424" s="54"/>
      <c r="T424" s="54"/>
      <c r="W424" s="54"/>
      <c r="X424" s="54"/>
      <c r="Y424" s="54"/>
      <c r="AB424" s="54"/>
      <c r="AC424" s="54"/>
      <c r="AD424" s="54"/>
      <c r="AG424" s="54"/>
      <c r="AH424" s="54"/>
      <c r="AI424" s="54"/>
    </row>
    <row r="425" spans="18:35" x14ac:dyDescent="0.2">
      <c r="R425" s="54"/>
      <c r="S425" s="54"/>
      <c r="T425" s="54"/>
      <c r="W425" s="54"/>
      <c r="X425" s="54"/>
      <c r="Y425" s="54"/>
      <c r="AB425" s="54"/>
      <c r="AC425" s="54"/>
      <c r="AD425" s="54"/>
      <c r="AG425" s="54"/>
      <c r="AH425" s="54"/>
      <c r="AI425" s="54"/>
    </row>
    <row r="426" spans="18:35" x14ac:dyDescent="0.2">
      <c r="R426" s="54"/>
      <c r="S426" s="54"/>
      <c r="T426" s="54"/>
      <c r="W426" s="54"/>
      <c r="X426" s="54"/>
      <c r="Y426" s="54"/>
      <c r="AB426" s="54"/>
      <c r="AC426" s="54"/>
      <c r="AD426" s="54"/>
      <c r="AG426" s="54"/>
      <c r="AH426" s="54"/>
      <c r="AI426" s="54"/>
    </row>
    <row r="427" spans="18:35" x14ac:dyDescent="0.2">
      <c r="R427" s="54"/>
      <c r="S427" s="54"/>
      <c r="T427" s="54"/>
      <c r="W427" s="54"/>
      <c r="X427" s="54"/>
      <c r="Y427" s="54"/>
      <c r="AB427" s="54"/>
      <c r="AC427" s="54"/>
      <c r="AD427" s="54"/>
      <c r="AG427" s="54"/>
      <c r="AH427" s="54"/>
      <c r="AI427" s="54"/>
    </row>
    <row r="428" spans="18:35" x14ac:dyDescent="0.2">
      <c r="R428" s="54"/>
      <c r="S428" s="54"/>
      <c r="T428" s="54"/>
      <c r="W428" s="54"/>
      <c r="X428" s="54"/>
      <c r="Y428" s="54"/>
      <c r="AB428" s="54"/>
      <c r="AC428" s="54"/>
      <c r="AD428" s="54"/>
      <c r="AG428" s="54"/>
      <c r="AH428" s="54"/>
      <c r="AI428" s="54"/>
    </row>
    <row r="429" spans="18:35" x14ac:dyDescent="0.2">
      <c r="R429" s="54"/>
      <c r="S429" s="54"/>
      <c r="T429" s="54"/>
      <c r="W429" s="54"/>
      <c r="X429" s="54"/>
      <c r="Y429" s="54"/>
      <c r="AB429" s="54"/>
      <c r="AC429" s="54"/>
      <c r="AD429" s="54"/>
      <c r="AG429" s="54"/>
      <c r="AH429" s="54"/>
      <c r="AI429" s="54"/>
    </row>
    <row r="430" spans="18:35" x14ac:dyDescent="0.2">
      <c r="R430" s="54"/>
      <c r="S430" s="54"/>
      <c r="T430" s="54"/>
      <c r="W430" s="54"/>
      <c r="X430" s="54"/>
      <c r="Y430" s="54"/>
      <c r="AB430" s="54"/>
      <c r="AC430" s="54"/>
      <c r="AD430" s="54"/>
      <c r="AG430" s="54"/>
      <c r="AH430" s="54"/>
      <c r="AI430" s="54"/>
    </row>
    <row r="431" spans="18:35" x14ac:dyDescent="0.2">
      <c r="R431" s="54"/>
      <c r="S431" s="54"/>
      <c r="T431" s="54"/>
      <c r="W431" s="54"/>
      <c r="X431" s="54"/>
      <c r="Y431" s="54"/>
      <c r="AB431" s="54"/>
      <c r="AC431" s="54"/>
      <c r="AD431" s="54"/>
      <c r="AG431" s="54"/>
      <c r="AH431" s="54"/>
      <c r="AI431" s="54"/>
    </row>
    <row r="432" spans="18:35" x14ac:dyDescent="0.2">
      <c r="R432" s="54"/>
      <c r="S432" s="54"/>
      <c r="T432" s="54"/>
      <c r="W432" s="54"/>
      <c r="X432" s="54"/>
      <c r="Y432" s="54"/>
      <c r="AB432" s="54"/>
      <c r="AC432" s="54"/>
      <c r="AD432" s="54"/>
      <c r="AG432" s="54"/>
      <c r="AH432" s="54"/>
      <c r="AI432" s="54"/>
    </row>
    <row r="433" spans="18:35" x14ac:dyDescent="0.2">
      <c r="R433" s="54"/>
      <c r="S433" s="54"/>
      <c r="T433" s="54"/>
      <c r="W433" s="54"/>
      <c r="X433" s="54"/>
      <c r="Y433" s="54"/>
      <c r="AB433" s="54"/>
      <c r="AC433" s="54"/>
      <c r="AD433" s="54"/>
      <c r="AG433" s="54"/>
      <c r="AH433" s="54"/>
      <c r="AI433" s="54"/>
    </row>
    <row r="434" spans="18:35" x14ac:dyDescent="0.2">
      <c r="R434" s="54"/>
      <c r="S434" s="54"/>
      <c r="T434" s="54"/>
      <c r="W434" s="54"/>
      <c r="X434" s="54"/>
      <c r="Y434" s="54"/>
      <c r="AB434" s="54"/>
      <c r="AC434" s="54"/>
      <c r="AD434" s="54"/>
      <c r="AG434" s="54"/>
      <c r="AH434" s="54"/>
      <c r="AI434" s="54"/>
    </row>
    <row r="435" spans="18:35" x14ac:dyDescent="0.2">
      <c r="R435" s="54"/>
      <c r="S435" s="54"/>
      <c r="T435" s="54"/>
      <c r="W435" s="54"/>
      <c r="X435" s="54"/>
      <c r="Y435" s="54"/>
      <c r="AB435" s="54"/>
      <c r="AC435" s="54"/>
      <c r="AD435" s="54"/>
      <c r="AG435" s="54"/>
      <c r="AH435" s="54"/>
      <c r="AI435" s="54"/>
    </row>
    <row r="436" spans="18:35" x14ac:dyDescent="0.2">
      <c r="R436" s="54"/>
      <c r="S436" s="54"/>
      <c r="T436" s="54"/>
      <c r="W436" s="54"/>
      <c r="X436" s="54"/>
      <c r="Y436" s="54"/>
      <c r="AB436" s="54"/>
      <c r="AC436" s="54"/>
      <c r="AD436" s="54"/>
      <c r="AG436" s="54"/>
      <c r="AH436" s="54"/>
      <c r="AI436" s="54"/>
    </row>
    <row r="437" spans="18:35" x14ac:dyDescent="0.2">
      <c r="R437" s="54"/>
      <c r="S437" s="54"/>
      <c r="T437" s="54"/>
      <c r="W437" s="54"/>
      <c r="X437" s="54"/>
      <c r="Y437" s="54"/>
      <c r="AB437" s="54"/>
      <c r="AC437" s="54"/>
      <c r="AD437" s="54"/>
      <c r="AG437" s="54"/>
      <c r="AH437" s="54"/>
      <c r="AI437" s="54"/>
    </row>
    <row r="438" spans="18:35" x14ac:dyDescent="0.2">
      <c r="R438" s="54"/>
      <c r="S438" s="54"/>
      <c r="T438" s="54"/>
      <c r="W438" s="54"/>
      <c r="X438" s="54"/>
      <c r="Y438" s="54"/>
      <c r="AB438" s="54"/>
      <c r="AC438" s="54"/>
      <c r="AD438" s="54"/>
      <c r="AG438" s="54"/>
      <c r="AH438" s="54"/>
      <c r="AI438" s="54"/>
    </row>
    <row r="439" spans="18:35" x14ac:dyDescent="0.2">
      <c r="R439" s="54"/>
      <c r="S439" s="54"/>
      <c r="T439" s="54"/>
      <c r="W439" s="54"/>
      <c r="X439" s="54"/>
      <c r="Y439" s="54"/>
      <c r="AB439" s="54"/>
      <c r="AC439" s="54"/>
      <c r="AD439" s="54"/>
      <c r="AG439" s="54"/>
      <c r="AH439" s="54"/>
      <c r="AI439" s="54"/>
    </row>
    <row r="440" spans="18:35" x14ac:dyDescent="0.2">
      <c r="R440" s="54"/>
      <c r="S440" s="54"/>
      <c r="T440" s="54"/>
      <c r="W440" s="54"/>
      <c r="X440" s="54"/>
      <c r="Y440" s="54"/>
      <c r="AB440" s="54"/>
      <c r="AC440" s="54"/>
      <c r="AD440" s="54"/>
      <c r="AG440" s="54"/>
      <c r="AH440" s="54"/>
      <c r="AI440" s="54"/>
    </row>
    <row r="441" spans="18:35" x14ac:dyDescent="0.2">
      <c r="R441" s="54"/>
      <c r="S441" s="54"/>
      <c r="T441" s="54"/>
      <c r="W441" s="54"/>
      <c r="X441" s="54"/>
      <c r="Y441" s="54"/>
      <c r="AB441" s="54"/>
      <c r="AC441" s="54"/>
      <c r="AD441" s="54"/>
      <c r="AG441" s="54"/>
      <c r="AH441" s="54"/>
      <c r="AI441" s="54"/>
    </row>
    <row r="442" spans="18:35" x14ac:dyDescent="0.2">
      <c r="R442" s="54"/>
      <c r="S442" s="54"/>
      <c r="T442" s="54"/>
      <c r="W442" s="54"/>
      <c r="X442" s="54"/>
      <c r="Y442" s="54"/>
      <c r="AB442" s="54"/>
      <c r="AC442" s="54"/>
      <c r="AD442" s="54"/>
      <c r="AG442" s="54"/>
      <c r="AH442" s="54"/>
      <c r="AI442" s="54"/>
    </row>
    <row r="443" spans="18:35" x14ac:dyDescent="0.2">
      <c r="R443" s="54"/>
      <c r="S443" s="54"/>
      <c r="T443" s="54"/>
      <c r="W443" s="54"/>
      <c r="X443" s="54"/>
      <c r="Y443" s="54"/>
      <c r="AB443" s="54"/>
      <c r="AC443" s="54"/>
      <c r="AD443" s="54"/>
      <c r="AG443" s="54"/>
      <c r="AH443" s="54"/>
      <c r="AI443" s="54"/>
    </row>
    <row r="444" spans="18:35" x14ac:dyDescent="0.2">
      <c r="R444" s="54"/>
      <c r="S444" s="54"/>
      <c r="T444" s="54"/>
      <c r="W444" s="54"/>
      <c r="X444" s="54"/>
      <c r="Y444" s="54"/>
      <c r="AB444" s="54"/>
      <c r="AC444" s="54"/>
      <c r="AD444" s="54"/>
      <c r="AG444" s="54"/>
      <c r="AH444" s="54"/>
      <c r="AI444" s="54"/>
    </row>
    <row r="445" spans="18:35" x14ac:dyDescent="0.2">
      <c r="R445" s="54"/>
      <c r="S445" s="54"/>
      <c r="T445" s="54"/>
      <c r="W445" s="54"/>
      <c r="X445" s="54"/>
      <c r="Y445" s="54"/>
      <c r="AB445" s="54"/>
      <c r="AC445" s="54"/>
      <c r="AD445" s="54"/>
      <c r="AG445" s="54"/>
      <c r="AH445" s="54"/>
      <c r="AI445" s="54"/>
    </row>
    <row r="446" spans="18:35" x14ac:dyDescent="0.2">
      <c r="R446" s="54"/>
      <c r="S446" s="54"/>
      <c r="T446" s="54"/>
      <c r="W446" s="54"/>
      <c r="X446" s="54"/>
      <c r="Y446" s="54"/>
      <c r="AB446" s="54"/>
      <c r="AC446" s="54"/>
      <c r="AD446" s="54"/>
      <c r="AG446" s="54"/>
      <c r="AH446" s="54"/>
      <c r="AI446" s="54"/>
    </row>
    <row r="447" spans="18:35" x14ac:dyDescent="0.2">
      <c r="R447" s="54"/>
      <c r="S447" s="54"/>
      <c r="T447" s="54"/>
      <c r="W447" s="54"/>
      <c r="X447" s="54"/>
      <c r="Y447" s="54"/>
      <c r="AB447" s="54"/>
      <c r="AC447" s="54"/>
      <c r="AD447" s="54"/>
      <c r="AG447" s="54"/>
      <c r="AH447" s="54"/>
      <c r="AI447" s="54"/>
    </row>
    <row r="448" spans="18:35" x14ac:dyDescent="0.2">
      <c r="R448" s="54"/>
      <c r="S448" s="54"/>
      <c r="T448" s="54"/>
      <c r="W448" s="54"/>
      <c r="X448" s="54"/>
      <c r="Y448" s="54"/>
      <c r="AB448" s="54"/>
      <c r="AC448" s="54"/>
      <c r="AD448" s="54"/>
      <c r="AG448" s="54"/>
      <c r="AH448" s="54"/>
      <c r="AI448" s="54"/>
    </row>
    <row r="449" spans="18:35" x14ac:dyDescent="0.2">
      <c r="R449" s="54"/>
      <c r="S449" s="54"/>
      <c r="T449" s="54"/>
      <c r="W449" s="54"/>
      <c r="X449" s="54"/>
      <c r="Y449" s="54"/>
      <c r="AB449" s="54"/>
      <c r="AC449" s="54"/>
      <c r="AD449" s="54"/>
      <c r="AG449" s="54"/>
      <c r="AH449" s="54"/>
      <c r="AI449" s="54"/>
    </row>
    <row r="450" spans="18:35" x14ac:dyDescent="0.2">
      <c r="R450" s="54"/>
      <c r="S450" s="54"/>
      <c r="T450" s="54"/>
      <c r="W450" s="54"/>
      <c r="X450" s="54"/>
      <c r="Y450" s="54"/>
      <c r="AB450" s="54"/>
      <c r="AC450" s="54"/>
      <c r="AD450" s="54"/>
      <c r="AG450" s="54"/>
      <c r="AH450" s="54"/>
      <c r="AI450" s="54"/>
    </row>
    <row r="451" spans="18:35" x14ac:dyDescent="0.2">
      <c r="R451" s="54"/>
      <c r="S451" s="54"/>
      <c r="T451" s="54"/>
      <c r="W451" s="54"/>
      <c r="X451" s="54"/>
      <c r="Y451" s="54"/>
      <c r="AB451" s="54"/>
      <c r="AC451" s="54"/>
      <c r="AD451" s="54"/>
      <c r="AG451" s="54"/>
      <c r="AH451" s="54"/>
      <c r="AI451" s="54"/>
    </row>
    <row r="452" spans="18:35" x14ac:dyDescent="0.2">
      <c r="R452" s="54"/>
      <c r="S452" s="54"/>
      <c r="T452" s="54"/>
      <c r="W452" s="54"/>
      <c r="X452" s="54"/>
      <c r="Y452" s="54"/>
      <c r="AB452" s="54"/>
      <c r="AC452" s="54"/>
      <c r="AD452" s="54"/>
      <c r="AG452" s="54"/>
      <c r="AH452" s="54"/>
      <c r="AI452" s="54"/>
    </row>
    <row r="453" spans="18:35" x14ac:dyDescent="0.2">
      <c r="R453" s="54"/>
      <c r="S453" s="54"/>
      <c r="T453" s="54"/>
      <c r="W453" s="54"/>
      <c r="X453" s="54"/>
      <c r="Y453" s="54"/>
      <c r="AB453" s="54"/>
      <c r="AC453" s="54"/>
      <c r="AD453" s="54"/>
      <c r="AG453" s="54"/>
      <c r="AH453" s="54"/>
      <c r="AI453" s="54"/>
    </row>
    <row r="454" spans="18:35" x14ac:dyDescent="0.2">
      <c r="R454" s="54"/>
      <c r="S454" s="54"/>
      <c r="T454" s="54"/>
      <c r="W454" s="54"/>
      <c r="X454" s="54"/>
      <c r="Y454" s="54"/>
      <c r="AB454" s="54"/>
      <c r="AC454" s="54"/>
      <c r="AD454" s="54"/>
      <c r="AG454" s="54"/>
      <c r="AH454" s="54"/>
      <c r="AI454" s="54"/>
    </row>
    <row r="455" spans="18:35" x14ac:dyDescent="0.2">
      <c r="R455" s="54"/>
      <c r="S455" s="54"/>
      <c r="T455" s="54"/>
      <c r="W455" s="54"/>
      <c r="X455" s="54"/>
      <c r="Y455" s="54"/>
      <c r="AB455" s="54"/>
      <c r="AC455" s="54"/>
      <c r="AD455" s="54"/>
      <c r="AG455" s="54"/>
      <c r="AH455" s="54"/>
      <c r="AI455" s="54"/>
    </row>
    <row r="456" spans="18:35" x14ac:dyDescent="0.2">
      <c r="R456" s="54"/>
      <c r="S456" s="54"/>
      <c r="T456" s="54"/>
      <c r="W456" s="54"/>
      <c r="X456" s="54"/>
      <c r="Y456" s="54"/>
      <c r="AB456" s="54"/>
      <c r="AC456" s="54"/>
      <c r="AD456" s="54"/>
      <c r="AG456" s="54"/>
      <c r="AH456" s="54"/>
      <c r="AI456" s="54"/>
    </row>
    <row r="457" spans="18:35" x14ac:dyDescent="0.2">
      <c r="R457" s="54"/>
      <c r="S457" s="54"/>
      <c r="T457" s="54"/>
      <c r="W457" s="54"/>
      <c r="X457" s="54"/>
      <c r="Y457" s="54"/>
      <c r="AB457" s="54"/>
      <c r="AC457" s="54"/>
      <c r="AD457" s="54"/>
      <c r="AG457" s="54"/>
      <c r="AH457" s="54"/>
      <c r="AI457" s="54"/>
    </row>
    <row r="458" spans="18:35" x14ac:dyDescent="0.2">
      <c r="R458" s="54"/>
      <c r="S458" s="54"/>
      <c r="T458" s="54"/>
      <c r="W458" s="54"/>
      <c r="X458" s="54"/>
      <c r="Y458" s="54"/>
      <c r="AB458" s="54"/>
      <c r="AC458" s="54"/>
      <c r="AD458" s="54"/>
      <c r="AG458" s="54"/>
      <c r="AH458" s="54"/>
      <c r="AI458" s="54"/>
    </row>
    <row r="459" spans="18:35" x14ac:dyDescent="0.2">
      <c r="R459" s="54"/>
      <c r="S459" s="54"/>
      <c r="T459" s="54"/>
      <c r="W459" s="54"/>
      <c r="X459" s="54"/>
      <c r="Y459" s="54"/>
      <c r="AB459" s="54"/>
      <c r="AC459" s="54"/>
      <c r="AD459" s="54"/>
      <c r="AG459" s="54"/>
      <c r="AH459" s="54"/>
      <c r="AI459" s="54"/>
    </row>
    <row r="460" spans="18:35" x14ac:dyDescent="0.2">
      <c r="R460" s="54"/>
      <c r="S460" s="54"/>
      <c r="T460" s="54"/>
      <c r="W460" s="54"/>
      <c r="X460" s="54"/>
      <c r="Y460" s="54"/>
      <c r="AB460" s="54"/>
      <c r="AC460" s="54"/>
      <c r="AD460" s="54"/>
      <c r="AG460" s="54"/>
      <c r="AH460" s="54"/>
      <c r="AI460" s="54"/>
    </row>
    <row r="461" spans="18:35" x14ac:dyDescent="0.2">
      <c r="R461" s="54"/>
      <c r="S461" s="54"/>
      <c r="T461" s="54"/>
      <c r="W461" s="54"/>
      <c r="X461" s="54"/>
      <c r="Y461" s="54"/>
      <c r="AB461" s="54"/>
      <c r="AC461" s="54"/>
      <c r="AD461" s="54"/>
      <c r="AG461" s="54"/>
      <c r="AH461" s="54"/>
      <c r="AI461" s="54"/>
    </row>
    <row r="462" spans="18:35" x14ac:dyDescent="0.2">
      <c r="AG462" s="54"/>
      <c r="AH462" s="54"/>
      <c r="AI462" s="54"/>
    </row>
  </sheetData>
  <sheetProtection algorithmName="SHA-512" hashValue="wRp6CNqzumu1hEPywg8R6jxPpnpu7Lt0KTQWaBxR3SKwuQYQTQSiNEXKgS82iUMIa4YN/5J1Kl71uNc1fN6hnA==" saltValue="mZAtxAK7JVipbZEFmBaPHA==" spinCount="100000" sheet="1" objects="1" selectLockedCells="1"/>
  <mergeCells count="4">
    <mergeCell ref="F77:H77"/>
    <mergeCell ref="O3:P3"/>
    <mergeCell ref="A1:Q1"/>
    <mergeCell ref="F86:G86"/>
  </mergeCells>
  <phoneticPr fontId="6" type="noConversion"/>
  <conditionalFormatting sqref="E6 E8">
    <cfRule type="cellIs" dxfId="15" priority="21" stopIfTrue="1" operator="notBetween">
      <formula>4</formula>
      <formula>55</formula>
    </cfRule>
  </conditionalFormatting>
  <conditionalFormatting sqref="E9">
    <cfRule type="cellIs" dxfId="14" priority="18" stopIfTrue="1" operator="notBetween">
      <formula>0.8</formula>
      <formula>55</formula>
    </cfRule>
  </conditionalFormatting>
  <conditionalFormatting sqref="E40">
    <cfRule type="cellIs" dxfId="13" priority="16" stopIfTrue="1" operator="lessThanOrEqual">
      <formula>0</formula>
    </cfRule>
  </conditionalFormatting>
  <conditionalFormatting sqref="E42">
    <cfRule type="cellIs" dxfId="12" priority="15" stopIfTrue="1" operator="lessThan">
      <formula>$E$41</formula>
    </cfRule>
  </conditionalFormatting>
  <conditionalFormatting sqref="E44">
    <cfRule type="cellIs" dxfId="11" priority="14" stopIfTrue="1" operator="greaterThan">
      <formula>$E$43</formula>
    </cfRule>
  </conditionalFormatting>
  <conditionalFormatting sqref="E49">
    <cfRule type="cellIs" dxfId="10" priority="12" stopIfTrue="1" operator="equal">
      <formula>0</formula>
    </cfRule>
  </conditionalFormatting>
  <conditionalFormatting sqref="E51">
    <cfRule type="cellIs" dxfId="9" priority="11" stopIfTrue="1" operator="lessThan">
      <formula>$E$50</formula>
    </cfRule>
  </conditionalFormatting>
  <conditionalFormatting sqref="E53">
    <cfRule type="cellIs" dxfId="8" priority="9" stopIfTrue="1" operator="greaterThan">
      <formula>$E$52</formula>
    </cfRule>
    <cfRule type="cellIs" dxfId="7" priority="10" stopIfTrue="1" operator="equal">
      <formula>0</formula>
    </cfRule>
  </conditionalFormatting>
  <conditionalFormatting sqref="E62">
    <cfRule type="cellIs" dxfId="6" priority="7" operator="notBetween">
      <formula>55</formula>
      <formula>4</formula>
    </cfRule>
  </conditionalFormatting>
  <conditionalFormatting sqref="E58">
    <cfRule type="cellIs" dxfId="5" priority="5" operator="lessThanOrEqual">
      <formula>1.28</formula>
    </cfRule>
  </conditionalFormatting>
  <conditionalFormatting sqref="E11">
    <cfRule type="cellIs" dxfId="4" priority="24" stopIfTrue="1" operator="notBetween">
      <formula>600</formula>
      <formula>100</formula>
    </cfRule>
  </conditionalFormatting>
  <conditionalFormatting sqref="E7">
    <cfRule type="cellIs" dxfId="3" priority="4" operator="notBetween">
      <formula>$E$6</formula>
      <formula>$E$8</formula>
    </cfRule>
  </conditionalFormatting>
  <conditionalFormatting sqref="E60">
    <cfRule type="expression" dxfId="2" priority="3">
      <formula>DITHER=2</formula>
    </cfRule>
  </conditionalFormatting>
  <conditionalFormatting sqref="D61">
    <cfRule type="expression" dxfId="1" priority="2">
      <formula>DITHER=2</formula>
    </cfRule>
  </conditionalFormatting>
  <conditionalFormatting sqref="D60">
    <cfRule type="expression" dxfId="0" priority="1">
      <formula>DITHER=2</formula>
    </cfRule>
  </conditionalFormatting>
  <hyperlinks>
    <hyperlink ref="C3" r:id="rId1" xr:uid="{00000000-0004-0000-0000-000000000000}"/>
    <hyperlink ref="O2" r:id="rId2" xr:uid="{00000000-0004-0000-0000-000001000000}"/>
    <hyperlink ref="O3:P3" location="Licenses!A1" display="TERMS OF USE" xr:uid="{DC7B42D1-2C8A-4B39-8A59-68243D901433}"/>
  </hyperlinks>
  <printOptions horizontalCentered="1" verticalCentered="1"/>
  <pageMargins left="0.1" right="0.1" top="0.1" bottom="0.1" header="0.25" footer="0.25"/>
  <pageSetup scale="46" orientation="portrait" r:id="rId3"/>
  <headerFooter alignWithMargins="0"/>
  <rowBreaks count="1" manualBreakCount="1">
    <brk id="114" max="16383" man="1"/>
  </rowBreaks>
  <ignoredErrors>
    <ignoredError sqref="E76 E30" unlockedFormula="1"/>
  </ignoredError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3660" r:id="rId7" name="Drop Down 892">
              <controlPr defaultSize="0" autoLine="0" autoPict="0">
                <anchor moveWithCells="1">
                  <from>
                    <xdr:col>6</xdr:col>
                    <xdr:colOff>514350</xdr:colOff>
                    <xdr:row>11</xdr:row>
                    <xdr:rowOff>66675</xdr:rowOff>
                  </from>
                  <to>
                    <xdr:col>7</xdr:col>
                    <xdr:colOff>95250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88" r:id="rId8" name="Button 520">
              <controlPr locked="0" defaultSize="0" print="0" autoFill="0" autoPict="0" macro="[0]!FIXValues">
                <anchor moveWithCells="1" sizeWithCells="1">
                  <from>
                    <xdr:col>2</xdr:col>
                    <xdr:colOff>314325</xdr:colOff>
                    <xdr:row>77</xdr:row>
                    <xdr:rowOff>76200</xdr:rowOff>
                  </from>
                  <to>
                    <xdr:col>2</xdr:col>
                    <xdr:colOff>895350</xdr:colOff>
                    <xdr:row>79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60" r:id="rId9" name="Button 492">
              <controlPr locked="0" defaultSize="0" print="0" autoFill="0" autoPict="0" macro="[0]!RESETvalues">
                <anchor moveWithCells="1" sizeWithCells="1">
                  <from>
                    <xdr:col>2</xdr:col>
                    <xdr:colOff>314325</xdr:colOff>
                    <xdr:row>77</xdr:row>
                    <xdr:rowOff>76200</xdr:rowOff>
                  </from>
                  <to>
                    <xdr:col>2</xdr:col>
                    <xdr:colOff>895350</xdr:colOff>
                    <xdr:row>79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829" r:id="rId10" name="Spinner 61">
              <controlPr defaultSize="0" autoPict="0">
                <anchor moveWithCells="1" sizeWithCells="1">
                  <from>
                    <xdr:col>5</xdr:col>
                    <xdr:colOff>9525</xdr:colOff>
                    <xdr:row>70</xdr:row>
                    <xdr:rowOff>0</xdr:rowOff>
                  </from>
                  <to>
                    <xdr:col>5</xdr:col>
                    <xdr:colOff>180975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895" r:id="rId11" name="Spinner 127">
              <controlPr defaultSize="0" autoPict="0">
                <anchor moveWithCells="1" sizeWithCells="1">
                  <from>
                    <xdr:col>5</xdr:col>
                    <xdr:colOff>123825</xdr:colOff>
                    <xdr:row>6</xdr:row>
                    <xdr:rowOff>9525</xdr:rowOff>
                  </from>
                  <to>
                    <xdr:col>5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924" r:id="rId12" name="Drop Down 156">
              <controlPr defaultSize="0" autoLine="0" autoPict="0">
                <anchor>
                  <from>
                    <xdr:col>7</xdr:col>
                    <xdr:colOff>219075</xdr:colOff>
                    <xdr:row>83</xdr:row>
                    <xdr:rowOff>66675</xdr:rowOff>
                  </from>
                  <to>
                    <xdr:col>9</xdr:col>
                    <xdr:colOff>200025</xdr:colOff>
                    <xdr:row>84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029" r:id="rId13" name="Drop Down 261">
              <controlPr defaultSize="0" autoLine="0" autoPict="0">
                <anchor moveWithCells="1">
                  <from>
                    <xdr:col>0</xdr:col>
                    <xdr:colOff>9525</xdr:colOff>
                    <xdr:row>59</xdr:row>
                    <xdr:rowOff>0</xdr:rowOff>
                  </from>
                  <to>
                    <xdr:col>1</xdr:col>
                    <xdr:colOff>476250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95" r:id="rId14" name="Spinner 527">
              <controlPr defaultSize="0" autoPict="0">
                <anchor moveWithCells="1" sizeWithCells="1">
                  <from>
                    <xdr:col>13</xdr:col>
                    <xdr:colOff>428625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69" r:id="rId15" name="Spinner 901">
              <controlPr defaultSize="0" autoPict="0">
                <anchor moveWithCells="1" sizeWithCells="1">
                  <from>
                    <xdr:col>13</xdr:col>
                    <xdr:colOff>428625</xdr:colOff>
                    <xdr:row>83</xdr:row>
                    <xdr:rowOff>0</xdr:rowOff>
                  </from>
                  <to>
                    <xdr:col>14</xdr:col>
                    <xdr:colOff>0</xdr:colOff>
                    <xdr:row>84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M81"/>
  <sheetViews>
    <sheetView topLeftCell="A25" zoomScale="85" zoomScaleNormal="85" workbookViewId="0">
      <selection activeCell="K68" sqref="K68"/>
    </sheetView>
  </sheetViews>
  <sheetFormatPr defaultRowHeight="12.75" x14ac:dyDescent="0.2"/>
  <cols>
    <col min="1" max="1" width="9.5703125" style="226" customWidth="1"/>
    <col min="2" max="2" width="20.28515625" style="226" customWidth="1"/>
    <col min="3" max="3" width="16.140625" style="226" customWidth="1"/>
    <col min="4" max="4" width="20.140625" style="226" customWidth="1"/>
    <col min="5" max="5" width="17.28515625" style="226" customWidth="1"/>
    <col min="6" max="6" width="20.5703125" style="226" bestFit="1" customWidth="1"/>
    <col min="7" max="7" width="9.7109375" style="226" customWidth="1"/>
    <col min="8" max="8" width="16.140625" style="226" customWidth="1"/>
    <col min="9" max="9" width="14.7109375" style="226" customWidth="1"/>
    <col min="10" max="10" width="18.42578125" style="226" customWidth="1"/>
    <col min="11" max="11" width="26.42578125" style="226" customWidth="1"/>
    <col min="12" max="12" width="9.140625" style="226"/>
    <col min="13" max="13" width="9.140625" style="227"/>
    <col min="14" max="256" width="9.140625" style="226"/>
    <col min="257" max="257" width="8.7109375" style="226" bestFit="1" customWidth="1"/>
    <col min="258" max="258" width="13.28515625" style="226" customWidth="1"/>
    <col min="259" max="259" width="16.140625" style="226" bestFit="1" customWidth="1"/>
    <col min="260" max="260" width="23.5703125" style="226" customWidth="1"/>
    <col min="261" max="261" width="17.28515625" style="226" customWidth="1"/>
    <col min="262" max="262" width="20.5703125" style="226" bestFit="1" customWidth="1"/>
    <col min="263" max="263" width="17.140625" style="226" customWidth="1"/>
    <col min="264" max="264" width="21.85546875" style="226" bestFit="1" customWidth="1"/>
    <col min="265" max="265" width="17.140625" style="226" bestFit="1" customWidth="1"/>
    <col min="266" max="266" width="18.140625" style="226" bestFit="1" customWidth="1"/>
    <col min="267" max="267" width="26.42578125" style="226" customWidth="1"/>
    <col min="268" max="512" width="9.140625" style="226"/>
    <col min="513" max="513" width="8.7109375" style="226" bestFit="1" customWidth="1"/>
    <col min="514" max="514" width="13.28515625" style="226" customWidth="1"/>
    <col min="515" max="515" width="16.140625" style="226" bestFit="1" customWidth="1"/>
    <col min="516" max="516" width="23.5703125" style="226" customWidth="1"/>
    <col min="517" max="517" width="17.28515625" style="226" customWidth="1"/>
    <col min="518" max="518" width="20.5703125" style="226" bestFit="1" customWidth="1"/>
    <col min="519" max="519" width="17.140625" style="226" customWidth="1"/>
    <col min="520" max="520" width="21.85546875" style="226" bestFit="1" customWidth="1"/>
    <col min="521" max="521" width="17.140625" style="226" bestFit="1" customWidth="1"/>
    <col min="522" max="522" width="18.140625" style="226" bestFit="1" customWidth="1"/>
    <col min="523" max="523" width="26.42578125" style="226" customWidth="1"/>
    <col min="524" max="768" width="9.140625" style="226"/>
    <col min="769" max="769" width="8.7109375" style="226" bestFit="1" customWidth="1"/>
    <col min="770" max="770" width="13.28515625" style="226" customWidth="1"/>
    <col min="771" max="771" width="16.140625" style="226" bestFit="1" customWidth="1"/>
    <col min="772" max="772" width="23.5703125" style="226" customWidth="1"/>
    <col min="773" max="773" width="17.28515625" style="226" customWidth="1"/>
    <col min="774" max="774" width="20.5703125" style="226" bestFit="1" customWidth="1"/>
    <col min="775" max="775" width="17.140625" style="226" customWidth="1"/>
    <col min="776" max="776" width="21.85546875" style="226" bestFit="1" customWidth="1"/>
    <col min="777" max="777" width="17.140625" style="226" bestFit="1" customWidth="1"/>
    <col min="778" max="778" width="18.140625" style="226" bestFit="1" customWidth="1"/>
    <col min="779" max="779" width="26.42578125" style="226" customWidth="1"/>
    <col min="780" max="1024" width="9.140625" style="226"/>
    <col min="1025" max="1025" width="8.7109375" style="226" bestFit="1" customWidth="1"/>
    <col min="1026" max="1026" width="13.28515625" style="226" customWidth="1"/>
    <col min="1027" max="1027" width="16.140625" style="226" bestFit="1" customWidth="1"/>
    <col min="1028" max="1028" width="23.5703125" style="226" customWidth="1"/>
    <col min="1029" max="1029" width="17.28515625" style="226" customWidth="1"/>
    <col min="1030" max="1030" width="20.5703125" style="226" bestFit="1" customWidth="1"/>
    <col min="1031" max="1031" width="17.140625" style="226" customWidth="1"/>
    <col min="1032" max="1032" width="21.85546875" style="226" bestFit="1" customWidth="1"/>
    <col min="1033" max="1033" width="17.140625" style="226" bestFit="1" customWidth="1"/>
    <col min="1034" max="1034" width="18.140625" style="226" bestFit="1" customWidth="1"/>
    <col min="1035" max="1035" width="26.42578125" style="226" customWidth="1"/>
    <col min="1036" max="1280" width="9.140625" style="226"/>
    <col min="1281" max="1281" width="8.7109375" style="226" bestFit="1" customWidth="1"/>
    <col min="1282" max="1282" width="13.28515625" style="226" customWidth="1"/>
    <col min="1283" max="1283" width="16.140625" style="226" bestFit="1" customWidth="1"/>
    <col min="1284" max="1284" width="23.5703125" style="226" customWidth="1"/>
    <col min="1285" max="1285" width="17.28515625" style="226" customWidth="1"/>
    <col min="1286" max="1286" width="20.5703125" style="226" bestFit="1" customWidth="1"/>
    <col min="1287" max="1287" width="17.140625" style="226" customWidth="1"/>
    <col min="1288" max="1288" width="21.85546875" style="226" bestFit="1" customWidth="1"/>
    <col min="1289" max="1289" width="17.140625" style="226" bestFit="1" customWidth="1"/>
    <col min="1290" max="1290" width="18.140625" style="226" bestFit="1" customWidth="1"/>
    <col min="1291" max="1291" width="26.42578125" style="226" customWidth="1"/>
    <col min="1292" max="1536" width="9.140625" style="226"/>
    <col min="1537" max="1537" width="8.7109375" style="226" bestFit="1" customWidth="1"/>
    <col min="1538" max="1538" width="13.28515625" style="226" customWidth="1"/>
    <col min="1539" max="1539" width="16.140625" style="226" bestFit="1" customWidth="1"/>
    <col min="1540" max="1540" width="23.5703125" style="226" customWidth="1"/>
    <col min="1541" max="1541" width="17.28515625" style="226" customWidth="1"/>
    <col min="1542" max="1542" width="20.5703125" style="226" bestFit="1" customWidth="1"/>
    <col min="1543" max="1543" width="17.140625" style="226" customWidth="1"/>
    <col min="1544" max="1544" width="21.85546875" style="226" bestFit="1" customWidth="1"/>
    <col min="1545" max="1545" width="17.140625" style="226" bestFit="1" customWidth="1"/>
    <col min="1546" max="1546" width="18.140625" style="226" bestFit="1" customWidth="1"/>
    <col min="1547" max="1547" width="26.42578125" style="226" customWidth="1"/>
    <col min="1548" max="1792" width="9.140625" style="226"/>
    <col min="1793" max="1793" width="8.7109375" style="226" bestFit="1" customWidth="1"/>
    <col min="1794" max="1794" width="13.28515625" style="226" customWidth="1"/>
    <col min="1795" max="1795" width="16.140625" style="226" bestFit="1" customWidth="1"/>
    <col min="1796" max="1796" width="23.5703125" style="226" customWidth="1"/>
    <col min="1797" max="1797" width="17.28515625" style="226" customWidth="1"/>
    <col min="1798" max="1798" width="20.5703125" style="226" bestFit="1" customWidth="1"/>
    <col min="1799" max="1799" width="17.140625" style="226" customWidth="1"/>
    <col min="1800" max="1800" width="21.85546875" style="226" bestFit="1" customWidth="1"/>
    <col min="1801" max="1801" width="17.140625" style="226" bestFit="1" customWidth="1"/>
    <col min="1802" max="1802" width="18.140625" style="226" bestFit="1" customWidth="1"/>
    <col min="1803" max="1803" width="26.42578125" style="226" customWidth="1"/>
    <col min="1804" max="2048" width="9.140625" style="226"/>
    <col min="2049" max="2049" width="8.7109375" style="226" bestFit="1" customWidth="1"/>
    <col min="2050" max="2050" width="13.28515625" style="226" customWidth="1"/>
    <col min="2051" max="2051" width="16.140625" style="226" bestFit="1" customWidth="1"/>
    <col min="2052" max="2052" width="23.5703125" style="226" customWidth="1"/>
    <col min="2053" max="2053" width="17.28515625" style="226" customWidth="1"/>
    <col min="2054" max="2054" width="20.5703125" style="226" bestFit="1" customWidth="1"/>
    <col min="2055" max="2055" width="17.140625" style="226" customWidth="1"/>
    <col min="2056" max="2056" width="21.85546875" style="226" bestFit="1" customWidth="1"/>
    <col min="2057" max="2057" width="17.140625" style="226" bestFit="1" customWidth="1"/>
    <col min="2058" max="2058" width="18.140625" style="226" bestFit="1" customWidth="1"/>
    <col min="2059" max="2059" width="26.42578125" style="226" customWidth="1"/>
    <col min="2060" max="2304" width="9.140625" style="226"/>
    <col min="2305" max="2305" width="8.7109375" style="226" bestFit="1" customWidth="1"/>
    <col min="2306" max="2306" width="13.28515625" style="226" customWidth="1"/>
    <col min="2307" max="2307" width="16.140625" style="226" bestFit="1" customWidth="1"/>
    <col min="2308" max="2308" width="23.5703125" style="226" customWidth="1"/>
    <col min="2309" max="2309" width="17.28515625" style="226" customWidth="1"/>
    <col min="2310" max="2310" width="20.5703125" style="226" bestFit="1" customWidth="1"/>
    <col min="2311" max="2311" width="17.140625" style="226" customWidth="1"/>
    <col min="2312" max="2312" width="21.85546875" style="226" bestFit="1" customWidth="1"/>
    <col min="2313" max="2313" width="17.140625" style="226" bestFit="1" customWidth="1"/>
    <col min="2314" max="2314" width="18.140625" style="226" bestFit="1" customWidth="1"/>
    <col min="2315" max="2315" width="26.42578125" style="226" customWidth="1"/>
    <col min="2316" max="2560" width="9.140625" style="226"/>
    <col min="2561" max="2561" width="8.7109375" style="226" bestFit="1" customWidth="1"/>
    <col min="2562" max="2562" width="13.28515625" style="226" customWidth="1"/>
    <col min="2563" max="2563" width="16.140625" style="226" bestFit="1" customWidth="1"/>
    <col min="2564" max="2564" width="23.5703125" style="226" customWidth="1"/>
    <col min="2565" max="2565" width="17.28515625" style="226" customWidth="1"/>
    <col min="2566" max="2566" width="20.5703125" style="226" bestFit="1" customWidth="1"/>
    <col min="2567" max="2567" width="17.140625" style="226" customWidth="1"/>
    <col min="2568" max="2568" width="21.85546875" style="226" bestFit="1" customWidth="1"/>
    <col min="2569" max="2569" width="17.140625" style="226" bestFit="1" customWidth="1"/>
    <col min="2570" max="2570" width="18.140625" style="226" bestFit="1" customWidth="1"/>
    <col min="2571" max="2571" width="26.42578125" style="226" customWidth="1"/>
    <col min="2572" max="2816" width="9.140625" style="226"/>
    <col min="2817" max="2817" width="8.7109375" style="226" bestFit="1" customWidth="1"/>
    <col min="2818" max="2818" width="13.28515625" style="226" customWidth="1"/>
    <col min="2819" max="2819" width="16.140625" style="226" bestFit="1" customWidth="1"/>
    <col min="2820" max="2820" width="23.5703125" style="226" customWidth="1"/>
    <col min="2821" max="2821" width="17.28515625" style="226" customWidth="1"/>
    <col min="2822" max="2822" width="20.5703125" style="226" bestFit="1" customWidth="1"/>
    <col min="2823" max="2823" width="17.140625" style="226" customWidth="1"/>
    <col min="2824" max="2824" width="21.85546875" style="226" bestFit="1" customWidth="1"/>
    <col min="2825" max="2825" width="17.140625" style="226" bestFit="1" customWidth="1"/>
    <col min="2826" max="2826" width="18.140625" style="226" bestFit="1" customWidth="1"/>
    <col min="2827" max="2827" width="26.42578125" style="226" customWidth="1"/>
    <col min="2828" max="3072" width="9.140625" style="226"/>
    <col min="3073" max="3073" width="8.7109375" style="226" bestFit="1" customWidth="1"/>
    <col min="3074" max="3074" width="13.28515625" style="226" customWidth="1"/>
    <col min="3075" max="3075" width="16.140625" style="226" bestFit="1" customWidth="1"/>
    <col min="3076" max="3076" width="23.5703125" style="226" customWidth="1"/>
    <col min="3077" max="3077" width="17.28515625" style="226" customWidth="1"/>
    <col min="3078" max="3078" width="20.5703125" style="226" bestFit="1" customWidth="1"/>
    <col min="3079" max="3079" width="17.140625" style="226" customWidth="1"/>
    <col min="3080" max="3080" width="21.85546875" style="226" bestFit="1" customWidth="1"/>
    <col min="3081" max="3081" width="17.140625" style="226" bestFit="1" customWidth="1"/>
    <col min="3082" max="3082" width="18.140625" style="226" bestFit="1" customWidth="1"/>
    <col min="3083" max="3083" width="26.42578125" style="226" customWidth="1"/>
    <col min="3084" max="3328" width="9.140625" style="226"/>
    <col min="3329" max="3329" width="8.7109375" style="226" bestFit="1" customWidth="1"/>
    <col min="3330" max="3330" width="13.28515625" style="226" customWidth="1"/>
    <col min="3331" max="3331" width="16.140625" style="226" bestFit="1" customWidth="1"/>
    <col min="3332" max="3332" width="23.5703125" style="226" customWidth="1"/>
    <col min="3333" max="3333" width="17.28515625" style="226" customWidth="1"/>
    <col min="3334" max="3334" width="20.5703125" style="226" bestFit="1" customWidth="1"/>
    <col min="3335" max="3335" width="17.140625" style="226" customWidth="1"/>
    <col min="3336" max="3336" width="21.85546875" style="226" bestFit="1" customWidth="1"/>
    <col min="3337" max="3337" width="17.140625" style="226" bestFit="1" customWidth="1"/>
    <col min="3338" max="3338" width="18.140625" style="226" bestFit="1" customWidth="1"/>
    <col min="3339" max="3339" width="26.42578125" style="226" customWidth="1"/>
    <col min="3340" max="3584" width="9.140625" style="226"/>
    <col min="3585" max="3585" width="8.7109375" style="226" bestFit="1" customWidth="1"/>
    <col min="3586" max="3586" width="13.28515625" style="226" customWidth="1"/>
    <col min="3587" max="3587" width="16.140625" style="226" bestFit="1" customWidth="1"/>
    <col min="3588" max="3588" width="23.5703125" style="226" customWidth="1"/>
    <col min="3589" max="3589" width="17.28515625" style="226" customWidth="1"/>
    <col min="3590" max="3590" width="20.5703125" style="226" bestFit="1" customWidth="1"/>
    <col min="3591" max="3591" width="17.140625" style="226" customWidth="1"/>
    <col min="3592" max="3592" width="21.85546875" style="226" bestFit="1" customWidth="1"/>
    <col min="3593" max="3593" width="17.140625" style="226" bestFit="1" customWidth="1"/>
    <col min="3594" max="3594" width="18.140625" style="226" bestFit="1" customWidth="1"/>
    <col min="3595" max="3595" width="26.42578125" style="226" customWidth="1"/>
    <col min="3596" max="3840" width="9.140625" style="226"/>
    <col min="3841" max="3841" width="8.7109375" style="226" bestFit="1" customWidth="1"/>
    <col min="3842" max="3842" width="13.28515625" style="226" customWidth="1"/>
    <col min="3843" max="3843" width="16.140625" style="226" bestFit="1" customWidth="1"/>
    <col min="3844" max="3844" width="23.5703125" style="226" customWidth="1"/>
    <col min="3845" max="3845" width="17.28515625" style="226" customWidth="1"/>
    <col min="3846" max="3846" width="20.5703125" style="226" bestFit="1" customWidth="1"/>
    <col min="3847" max="3847" width="17.140625" style="226" customWidth="1"/>
    <col min="3848" max="3848" width="21.85546875" style="226" bestFit="1" customWidth="1"/>
    <col min="3849" max="3849" width="17.140625" style="226" bestFit="1" customWidth="1"/>
    <col min="3850" max="3850" width="18.140625" style="226" bestFit="1" customWidth="1"/>
    <col min="3851" max="3851" width="26.42578125" style="226" customWidth="1"/>
    <col min="3852" max="4096" width="9.140625" style="226"/>
    <col min="4097" max="4097" width="8.7109375" style="226" bestFit="1" customWidth="1"/>
    <col min="4098" max="4098" width="13.28515625" style="226" customWidth="1"/>
    <col min="4099" max="4099" width="16.140625" style="226" bestFit="1" customWidth="1"/>
    <col min="4100" max="4100" width="23.5703125" style="226" customWidth="1"/>
    <col min="4101" max="4101" width="17.28515625" style="226" customWidth="1"/>
    <col min="4102" max="4102" width="20.5703125" style="226" bestFit="1" customWidth="1"/>
    <col min="4103" max="4103" width="17.140625" style="226" customWidth="1"/>
    <col min="4104" max="4104" width="21.85546875" style="226" bestFit="1" customWidth="1"/>
    <col min="4105" max="4105" width="17.140625" style="226" bestFit="1" customWidth="1"/>
    <col min="4106" max="4106" width="18.140625" style="226" bestFit="1" customWidth="1"/>
    <col min="4107" max="4107" width="26.42578125" style="226" customWidth="1"/>
    <col min="4108" max="4352" width="9.140625" style="226"/>
    <col min="4353" max="4353" width="8.7109375" style="226" bestFit="1" customWidth="1"/>
    <col min="4354" max="4354" width="13.28515625" style="226" customWidth="1"/>
    <col min="4355" max="4355" width="16.140625" style="226" bestFit="1" customWidth="1"/>
    <col min="4356" max="4356" width="23.5703125" style="226" customWidth="1"/>
    <col min="4357" max="4357" width="17.28515625" style="226" customWidth="1"/>
    <col min="4358" max="4358" width="20.5703125" style="226" bestFit="1" customWidth="1"/>
    <col min="4359" max="4359" width="17.140625" style="226" customWidth="1"/>
    <col min="4360" max="4360" width="21.85546875" style="226" bestFit="1" customWidth="1"/>
    <col min="4361" max="4361" width="17.140625" style="226" bestFit="1" customWidth="1"/>
    <col min="4362" max="4362" width="18.140625" style="226" bestFit="1" customWidth="1"/>
    <col min="4363" max="4363" width="26.42578125" style="226" customWidth="1"/>
    <col min="4364" max="4608" width="9.140625" style="226"/>
    <col min="4609" max="4609" width="8.7109375" style="226" bestFit="1" customWidth="1"/>
    <col min="4610" max="4610" width="13.28515625" style="226" customWidth="1"/>
    <col min="4611" max="4611" width="16.140625" style="226" bestFit="1" customWidth="1"/>
    <col min="4612" max="4612" width="23.5703125" style="226" customWidth="1"/>
    <col min="4613" max="4613" width="17.28515625" style="226" customWidth="1"/>
    <col min="4614" max="4614" width="20.5703125" style="226" bestFit="1" customWidth="1"/>
    <col min="4615" max="4615" width="17.140625" style="226" customWidth="1"/>
    <col min="4616" max="4616" width="21.85546875" style="226" bestFit="1" customWidth="1"/>
    <col min="4617" max="4617" width="17.140625" style="226" bestFit="1" customWidth="1"/>
    <col min="4618" max="4618" width="18.140625" style="226" bestFit="1" customWidth="1"/>
    <col min="4619" max="4619" width="26.42578125" style="226" customWidth="1"/>
    <col min="4620" max="4864" width="9.140625" style="226"/>
    <col min="4865" max="4865" width="8.7109375" style="226" bestFit="1" customWidth="1"/>
    <col min="4866" max="4866" width="13.28515625" style="226" customWidth="1"/>
    <col min="4867" max="4867" width="16.140625" style="226" bestFit="1" customWidth="1"/>
    <col min="4868" max="4868" width="23.5703125" style="226" customWidth="1"/>
    <col min="4869" max="4869" width="17.28515625" style="226" customWidth="1"/>
    <col min="4870" max="4870" width="20.5703125" style="226" bestFit="1" customWidth="1"/>
    <col min="4871" max="4871" width="17.140625" style="226" customWidth="1"/>
    <col min="4872" max="4872" width="21.85546875" style="226" bestFit="1" customWidth="1"/>
    <col min="4873" max="4873" width="17.140625" style="226" bestFit="1" customWidth="1"/>
    <col min="4874" max="4874" width="18.140625" style="226" bestFit="1" customWidth="1"/>
    <col min="4875" max="4875" width="26.42578125" style="226" customWidth="1"/>
    <col min="4876" max="5120" width="9.140625" style="226"/>
    <col min="5121" max="5121" width="8.7109375" style="226" bestFit="1" customWidth="1"/>
    <col min="5122" max="5122" width="13.28515625" style="226" customWidth="1"/>
    <col min="5123" max="5123" width="16.140625" style="226" bestFit="1" customWidth="1"/>
    <col min="5124" max="5124" width="23.5703125" style="226" customWidth="1"/>
    <col min="5125" max="5125" width="17.28515625" style="226" customWidth="1"/>
    <col min="5126" max="5126" width="20.5703125" style="226" bestFit="1" customWidth="1"/>
    <col min="5127" max="5127" width="17.140625" style="226" customWidth="1"/>
    <col min="5128" max="5128" width="21.85546875" style="226" bestFit="1" customWidth="1"/>
    <col min="5129" max="5129" width="17.140625" style="226" bestFit="1" customWidth="1"/>
    <col min="5130" max="5130" width="18.140625" style="226" bestFit="1" customWidth="1"/>
    <col min="5131" max="5131" width="26.42578125" style="226" customWidth="1"/>
    <col min="5132" max="5376" width="9.140625" style="226"/>
    <col min="5377" max="5377" width="8.7109375" style="226" bestFit="1" customWidth="1"/>
    <col min="5378" max="5378" width="13.28515625" style="226" customWidth="1"/>
    <col min="5379" max="5379" width="16.140625" style="226" bestFit="1" customWidth="1"/>
    <col min="5380" max="5380" width="23.5703125" style="226" customWidth="1"/>
    <col min="5381" max="5381" width="17.28515625" style="226" customWidth="1"/>
    <col min="5382" max="5382" width="20.5703125" style="226" bestFit="1" customWidth="1"/>
    <col min="5383" max="5383" width="17.140625" style="226" customWidth="1"/>
    <col min="5384" max="5384" width="21.85546875" style="226" bestFit="1" customWidth="1"/>
    <col min="5385" max="5385" width="17.140625" style="226" bestFit="1" customWidth="1"/>
    <col min="5386" max="5386" width="18.140625" style="226" bestFit="1" customWidth="1"/>
    <col min="5387" max="5387" width="26.42578125" style="226" customWidth="1"/>
    <col min="5388" max="5632" width="9.140625" style="226"/>
    <col min="5633" max="5633" width="8.7109375" style="226" bestFit="1" customWidth="1"/>
    <col min="5634" max="5634" width="13.28515625" style="226" customWidth="1"/>
    <col min="5635" max="5635" width="16.140625" style="226" bestFit="1" customWidth="1"/>
    <col min="5636" max="5636" width="23.5703125" style="226" customWidth="1"/>
    <col min="5637" max="5637" width="17.28515625" style="226" customWidth="1"/>
    <col min="5638" max="5638" width="20.5703125" style="226" bestFit="1" customWidth="1"/>
    <col min="5639" max="5639" width="17.140625" style="226" customWidth="1"/>
    <col min="5640" max="5640" width="21.85546875" style="226" bestFit="1" customWidth="1"/>
    <col min="5641" max="5641" width="17.140625" style="226" bestFit="1" customWidth="1"/>
    <col min="5642" max="5642" width="18.140625" style="226" bestFit="1" customWidth="1"/>
    <col min="5643" max="5643" width="26.42578125" style="226" customWidth="1"/>
    <col min="5644" max="5888" width="9.140625" style="226"/>
    <col min="5889" max="5889" width="8.7109375" style="226" bestFit="1" customWidth="1"/>
    <col min="5890" max="5890" width="13.28515625" style="226" customWidth="1"/>
    <col min="5891" max="5891" width="16.140625" style="226" bestFit="1" customWidth="1"/>
    <col min="5892" max="5892" width="23.5703125" style="226" customWidth="1"/>
    <col min="5893" max="5893" width="17.28515625" style="226" customWidth="1"/>
    <col min="5894" max="5894" width="20.5703125" style="226" bestFit="1" customWidth="1"/>
    <col min="5895" max="5895" width="17.140625" style="226" customWidth="1"/>
    <col min="5896" max="5896" width="21.85546875" style="226" bestFit="1" customWidth="1"/>
    <col min="5897" max="5897" width="17.140625" style="226" bestFit="1" customWidth="1"/>
    <col min="5898" max="5898" width="18.140625" style="226" bestFit="1" customWidth="1"/>
    <col min="5899" max="5899" width="26.42578125" style="226" customWidth="1"/>
    <col min="5900" max="6144" width="9.140625" style="226"/>
    <col min="6145" max="6145" width="8.7109375" style="226" bestFit="1" customWidth="1"/>
    <col min="6146" max="6146" width="13.28515625" style="226" customWidth="1"/>
    <col min="6147" max="6147" width="16.140625" style="226" bestFit="1" customWidth="1"/>
    <col min="6148" max="6148" width="23.5703125" style="226" customWidth="1"/>
    <col min="6149" max="6149" width="17.28515625" style="226" customWidth="1"/>
    <col min="6150" max="6150" width="20.5703125" style="226" bestFit="1" customWidth="1"/>
    <col min="6151" max="6151" width="17.140625" style="226" customWidth="1"/>
    <col min="6152" max="6152" width="21.85546875" style="226" bestFit="1" customWidth="1"/>
    <col min="6153" max="6153" width="17.140625" style="226" bestFit="1" customWidth="1"/>
    <col min="6154" max="6154" width="18.140625" style="226" bestFit="1" customWidth="1"/>
    <col min="6155" max="6155" width="26.42578125" style="226" customWidth="1"/>
    <col min="6156" max="6400" width="9.140625" style="226"/>
    <col min="6401" max="6401" width="8.7109375" style="226" bestFit="1" customWidth="1"/>
    <col min="6402" max="6402" width="13.28515625" style="226" customWidth="1"/>
    <col min="6403" max="6403" width="16.140625" style="226" bestFit="1" customWidth="1"/>
    <col min="6404" max="6404" width="23.5703125" style="226" customWidth="1"/>
    <col min="6405" max="6405" width="17.28515625" style="226" customWidth="1"/>
    <col min="6406" max="6406" width="20.5703125" style="226" bestFit="1" customWidth="1"/>
    <col min="6407" max="6407" width="17.140625" style="226" customWidth="1"/>
    <col min="6408" max="6408" width="21.85546875" style="226" bestFit="1" customWidth="1"/>
    <col min="6409" max="6409" width="17.140625" style="226" bestFit="1" customWidth="1"/>
    <col min="6410" max="6410" width="18.140625" style="226" bestFit="1" customWidth="1"/>
    <col min="6411" max="6411" width="26.42578125" style="226" customWidth="1"/>
    <col min="6412" max="6656" width="9.140625" style="226"/>
    <col min="6657" max="6657" width="8.7109375" style="226" bestFit="1" customWidth="1"/>
    <col min="6658" max="6658" width="13.28515625" style="226" customWidth="1"/>
    <col min="6659" max="6659" width="16.140625" style="226" bestFit="1" customWidth="1"/>
    <col min="6660" max="6660" width="23.5703125" style="226" customWidth="1"/>
    <col min="6661" max="6661" width="17.28515625" style="226" customWidth="1"/>
    <col min="6662" max="6662" width="20.5703125" style="226" bestFit="1" customWidth="1"/>
    <col min="6663" max="6663" width="17.140625" style="226" customWidth="1"/>
    <col min="6664" max="6664" width="21.85546875" style="226" bestFit="1" customWidth="1"/>
    <col min="6665" max="6665" width="17.140625" style="226" bestFit="1" customWidth="1"/>
    <col min="6666" max="6666" width="18.140625" style="226" bestFit="1" customWidth="1"/>
    <col min="6667" max="6667" width="26.42578125" style="226" customWidth="1"/>
    <col min="6668" max="6912" width="9.140625" style="226"/>
    <col min="6913" max="6913" width="8.7109375" style="226" bestFit="1" customWidth="1"/>
    <col min="6914" max="6914" width="13.28515625" style="226" customWidth="1"/>
    <col min="6915" max="6915" width="16.140625" style="226" bestFit="1" customWidth="1"/>
    <col min="6916" max="6916" width="23.5703125" style="226" customWidth="1"/>
    <col min="6917" max="6917" width="17.28515625" style="226" customWidth="1"/>
    <col min="6918" max="6918" width="20.5703125" style="226" bestFit="1" customWidth="1"/>
    <col min="6919" max="6919" width="17.140625" style="226" customWidth="1"/>
    <col min="6920" max="6920" width="21.85546875" style="226" bestFit="1" customWidth="1"/>
    <col min="6921" max="6921" width="17.140625" style="226" bestFit="1" customWidth="1"/>
    <col min="6922" max="6922" width="18.140625" style="226" bestFit="1" customWidth="1"/>
    <col min="6923" max="6923" width="26.42578125" style="226" customWidth="1"/>
    <col min="6924" max="7168" width="9.140625" style="226"/>
    <col min="7169" max="7169" width="8.7109375" style="226" bestFit="1" customWidth="1"/>
    <col min="7170" max="7170" width="13.28515625" style="226" customWidth="1"/>
    <col min="7171" max="7171" width="16.140625" style="226" bestFit="1" customWidth="1"/>
    <col min="7172" max="7172" width="23.5703125" style="226" customWidth="1"/>
    <col min="7173" max="7173" width="17.28515625" style="226" customWidth="1"/>
    <col min="7174" max="7174" width="20.5703125" style="226" bestFit="1" customWidth="1"/>
    <col min="7175" max="7175" width="17.140625" style="226" customWidth="1"/>
    <col min="7176" max="7176" width="21.85546875" style="226" bestFit="1" customWidth="1"/>
    <col min="7177" max="7177" width="17.140625" style="226" bestFit="1" customWidth="1"/>
    <col min="7178" max="7178" width="18.140625" style="226" bestFit="1" customWidth="1"/>
    <col min="7179" max="7179" width="26.42578125" style="226" customWidth="1"/>
    <col min="7180" max="7424" width="9.140625" style="226"/>
    <col min="7425" max="7425" width="8.7109375" style="226" bestFit="1" customWidth="1"/>
    <col min="7426" max="7426" width="13.28515625" style="226" customWidth="1"/>
    <col min="7427" max="7427" width="16.140625" style="226" bestFit="1" customWidth="1"/>
    <col min="7428" max="7428" width="23.5703125" style="226" customWidth="1"/>
    <col min="7429" max="7429" width="17.28515625" style="226" customWidth="1"/>
    <col min="7430" max="7430" width="20.5703125" style="226" bestFit="1" customWidth="1"/>
    <col min="7431" max="7431" width="17.140625" style="226" customWidth="1"/>
    <col min="7432" max="7432" width="21.85546875" style="226" bestFit="1" customWidth="1"/>
    <col min="7433" max="7433" width="17.140625" style="226" bestFit="1" customWidth="1"/>
    <col min="7434" max="7434" width="18.140625" style="226" bestFit="1" customWidth="1"/>
    <col min="7435" max="7435" width="26.42578125" style="226" customWidth="1"/>
    <col min="7436" max="7680" width="9.140625" style="226"/>
    <col min="7681" max="7681" width="8.7109375" style="226" bestFit="1" customWidth="1"/>
    <col min="7682" max="7682" width="13.28515625" style="226" customWidth="1"/>
    <col min="7683" max="7683" width="16.140625" style="226" bestFit="1" customWidth="1"/>
    <col min="7684" max="7684" width="23.5703125" style="226" customWidth="1"/>
    <col min="7685" max="7685" width="17.28515625" style="226" customWidth="1"/>
    <col min="7686" max="7686" width="20.5703125" style="226" bestFit="1" customWidth="1"/>
    <col min="7687" max="7687" width="17.140625" style="226" customWidth="1"/>
    <col min="7688" max="7688" width="21.85546875" style="226" bestFit="1" customWidth="1"/>
    <col min="7689" max="7689" width="17.140625" style="226" bestFit="1" customWidth="1"/>
    <col min="7690" max="7690" width="18.140625" style="226" bestFit="1" customWidth="1"/>
    <col min="7691" max="7691" width="26.42578125" style="226" customWidth="1"/>
    <col min="7692" max="7936" width="9.140625" style="226"/>
    <col min="7937" max="7937" width="8.7109375" style="226" bestFit="1" customWidth="1"/>
    <col min="7938" max="7938" width="13.28515625" style="226" customWidth="1"/>
    <col min="7939" max="7939" width="16.140625" style="226" bestFit="1" customWidth="1"/>
    <col min="7940" max="7940" width="23.5703125" style="226" customWidth="1"/>
    <col min="7941" max="7941" width="17.28515625" style="226" customWidth="1"/>
    <col min="7942" max="7942" width="20.5703125" style="226" bestFit="1" customWidth="1"/>
    <col min="7943" max="7943" width="17.140625" style="226" customWidth="1"/>
    <col min="7944" max="7944" width="21.85546875" style="226" bestFit="1" customWidth="1"/>
    <col min="7945" max="7945" width="17.140625" style="226" bestFit="1" customWidth="1"/>
    <col min="7946" max="7946" width="18.140625" style="226" bestFit="1" customWidth="1"/>
    <col min="7947" max="7947" width="26.42578125" style="226" customWidth="1"/>
    <col min="7948" max="8192" width="9.140625" style="226"/>
    <col min="8193" max="8193" width="8.7109375" style="226" bestFit="1" customWidth="1"/>
    <col min="8194" max="8194" width="13.28515625" style="226" customWidth="1"/>
    <col min="8195" max="8195" width="16.140625" style="226" bestFit="1" customWidth="1"/>
    <col min="8196" max="8196" width="23.5703125" style="226" customWidth="1"/>
    <col min="8197" max="8197" width="17.28515625" style="226" customWidth="1"/>
    <col min="8198" max="8198" width="20.5703125" style="226" bestFit="1" customWidth="1"/>
    <col min="8199" max="8199" width="17.140625" style="226" customWidth="1"/>
    <col min="8200" max="8200" width="21.85546875" style="226" bestFit="1" customWidth="1"/>
    <col min="8201" max="8201" width="17.140625" style="226" bestFit="1" customWidth="1"/>
    <col min="8202" max="8202" width="18.140625" style="226" bestFit="1" customWidth="1"/>
    <col min="8203" max="8203" width="26.42578125" style="226" customWidth="1"/>
    <col min="8204" max="8448" width="9.140625" style="226"/>
    <col min="8449" max="8449" width="8.7109375" style="226" bestFit="1" customWidth="1"/>
    <col min="8450" max="8450" width="13.28515625" style="226" customWidth="1"/>
    <col min="8451" max="8451" width="16.140625" style="226" bestFit="1" customWidth="1"/>
    <col min="8452" max="8452" width="23.5703125" style="226" customWidth="1"/>
    <col min="8453" max="8453" width="17.28515625" style="226" customWidth="1"/>
    <col min="8454" max="8454" width="20.5703125" style="226" bestFit="1" customWidth="1"/>
    <col min="8455" max="8455" width="17.140625" style="226" customWidth="1"/>
    <col min="8456" max="8456" width="21.85546875" style="226" bestFit="1" customWidth="1"/>
    <col min="8457" max="8457" width="17.140625" style="226" bestFit="1" customWidth="1"/>
    <col min="8458" max="8458" width="18.140625" style="226" bestFit="1" customWidth="1"/>
    <col min="8459" max="8459" width="26.42578125" style="226" customWidth="1"/>
    <col min="8460" max="8704" width="9.140625" style="226"/>
    <col min="8705" max="8705" width="8.7109375" style="226" bestFit="1" customWidth="1"/>
    <col min="8706" max="8706" width="13.28515625" style="226" customWidth="1"/>
    <col min="8707" max="8707" width="16.140625" style="226" bestFit="1" customWidth="1"/>
    <col min="8708" max="8708" width="23.5703125" style="226" customWidth="1"/>
    <col min="8709" max="8709" width="17.28515625" style="226" customWidth="1"/>
    <col min="8710" max="8710" width="20.5703125" style="226" bestFit="1" customWidth="1"/>
    <col min="8711" max="8711" width="17.140625" style="226" customWidth="1"/>
    <col min="8712" max="8712" width="21.85546875" style="226" bestFit="1" customWidth="1"/>
    <col min="8713" max="8713" width="17.140625" style="226" bestFit="1" customWidth="1"/>
    <col min="8714" max="8714" width="18.140625" style="226" bestFit="1" customWidth="1"/>
    <col min="8715" max="8715" width="26.42578125" style="226" customWidth="1"/>
    <col min="8716" max="8960" width="9.140625" style="226"/>
    <col min="8961" max="8961" width="8.7109375" style="226" bestFit="1" customWidth="1"/>
    <col min="8962" max="8962" width="13.28515625" style="226" customWidth="1"/>
    <col min="8963" max="8963" width="16.140625" style="226" bestFit="1" customWidth="1"/>
    <col min="8964" max="8964" width="23.5703125" style="226" customWidth="1"/>
    <col min="8965" max="8965" width="17.28515625" style="226" customWidth="1"/>
    <col min="8966" max="8966" width="20.5703125" style="226" bestFit="1" customWidth="1"/>
    <col min="8967" max="8967" width="17.140625" style="226" customWidth="1"/>
    <col min="8968" max="8968" width="21.85546875" style="226" bestFit="1" customWidth="1"/>
    <col min="8969" max="8969" width="17.140625" style="226" bestFit="1" customWidth="1"/>
    <col min="8970" max="8970" width="18.140625" style="226" bestFit="1" customWidth="1"/>
    <col min="8971" max="8971" width="26.42578125" style="226" customWidth="1"/>
    <col min="8972" max="9216" width="9.140625" style="226"/>
    <col min="9217" max="9217" width="8.7109375" style="226" bestFit="1" customWidth="1"/>
    <col min="9218" max="9218" width="13.28515625" style="226" customWidth="1"/>
    <col min="9219" max="9219" width="16.140625" style="226" bestFit="1" customWidth="1"/>
    <col min="9220" max="9220" width="23.5703125" style="226" customWidth="1"/>
    <col min="9221" max="9221" width="17.28515625" style="226" customWidth="1"/>
    <col min="9222" max="9222" width="20.5703125" style="226" bestFit="1" customWidth="1"/>
    <col min="9223" max="9223" width="17.140625" style="226" customWidth="1"/>
    <col min="9224" max="9224" width="21.85546875" style="226" bestFit="1" customWidth="1"/>
    <col min="9225" max="9225" width="17.140625" style="226" bestFit="1" customWidth="1"/>
    <col min="9226" max="9226" width="18.140625" style="226" bestFit="1" customWidth="1"/>
    <col min="9227" max="9227" width="26.42578125" style="226" customWidth="1"/>
    <col min="9228" max="9472" width="9.140625" style="226"/>
    <col min="9473" max="9473" width="8.7109375" style="226" bestFit="1" customWidth="1"/>
    <col min="9474" max="9474" width="13.28515625" style="226" customWidth="1"/>
    <col min="9475" max="9475" width="16.140625" style="226" bestFit="1" customWidth="1"/>
    <col min="9476" max="9476" width="23.5703125" style="226" customWidth="1"/>
    <col min="9477" max="9477" width="17.28515625" style="226" customWidth="1"/>
    <col min="9478" max="9478" width="20.5703125" style="226" bestFit="1" customWidth="1"/>
    <col min="9479" max="9479" width="17.140625" style="226" customWidth="1"/>
    <col min="9480" max="9480" width="21.85546875" style="226" bestFit="1" customWidth="1"/>
    <col min="9481" max="9481" width="17.140625" style="226" bestFit="1" customWidth="1"/>
    <col min="9482" max="9482" width="18.140625" style="226" bestFit="1" customWidth="1"/>
    <col min="9483" max="9483" width="26.42578125" style="226" customWidth="1"/>
    <col min="9484" max="9728" width="9.140625" style="226"/>
    <col min="9729" max="9729" width="8.7109375" style="226" bestFit="1" customWidth="1"/>
    <col min="9730" max="9730" width="13.28515625" style="226" customWidth="1"/>
    <col min="9731" max="9731" width="16.140625" style="226" bestFit="1" customWidth="1"/>
    <col min="9732" max="9732" width="23.5703125" style="226" customWidth="1"/>
    <col min="9733" max="9733" width="17.28515625" style="226" customWidth="1"/>
    <col min="9734" max="9734" width="20.5703125" style="226" bestFit="1" customWidth="1"/>
    <col min="9735" max="9735" width="17.140625" style="226" customWidth="1"/>
    <col min="9736" max="9736" width="21.85546875" style="226" bestFit="1" customWidth="1"/>
    <col min="9737" max="9737" width="17.140625" style="226" bestFit="1" customWidth="1"/>
    <col min="9738" max="9738" width="18.140625" style="226" bestFit="1" customWidth="1"/>
    <col min="9739" max="9739" width="26.42578125" style="226" customWidth="1"/>
    <col min="9740" max="9984" width="9.140625" style="226"/>
    <col min="9985" max="9985" width="8.7109375" style="226" bestFit="1" customWidth="1"/>
    <col min="9986" max="9986" width="13.28515625" style="226" customWidth="1"/>
    <col min="9987" max="9987" width="16.140625" style="226" bestFit="1" customWidth="1"/>
    <col min="9988" max="9988" width="23.5703125" style="226" customWidth="1"/>
    <col min="9989" max="9989" width="17.28515625" style="226" customWidth="1"/>
    <col min="9990" max="9990" width="20.5703125" style="226" bestFit="1" customWidth="1"/>
    <col min="9991" max="9991" width="17.140625" style="226" customWidth="1"/>
    <col min="9992" max="9992" width="21.85546875" style="226" bestFit="1" customWidth="1"/>
    <col min="9993" max="9993" width="17.140625" style="226" bestFit="1" customWidth="1"/>
    <col min="9994" max="9994" width="18.140625" style="226" bestFit="1" customWidth="1"/>
    <col min="9995" max="9995" width="26.42578125" style="226" customWidth="1"/>
    <col min="9996" max="10240" width="9.140625" style="226"/>
    <col min="10241" max="10241" width="8.7109375" style="226" bestFit="1" customWidth="1"/>
    <col min="10242" max="10242" width="13.28515625" style="226" customWidth="1"/>
    <col min="10243" max="10243" width="16.140625" style="226" bestFit="1" customWidth="1"/>
    <col min="10244" max="10244" width="23.5703125" style="226" customWidth="1"/>
    <col min="10245" max="10245" width="17.28515625" style="226" customWidth="1"/>
    <col min="10246" max="10246" width="20.5703125" style="226" bestFit="1" customWidth="1"/>
    <col min="10247" max="10247" width="17.140625" style="226" customWidth="1"/>
    <col min="10248" max="10248" width="21.85546875" style="226" bestFit="1" customWidth="1"/>
    <col min="10249" max="10249" width="17.140625" style="226" bestFit="1" customWidth="1"/>
    <col min="10250" max="10250" width="18.140625" style="226" bestFit="1" customWidth="1"/>
    <col min="10251" max="10251" width="26.42578125" style="226" customWidth="1"/>
    <col min="10252" max="10496" width="9.140625" style="226"/>
    <col min="10497" max="10497" width="8.7109375" style="226" bestFit="1" customWidth="1"/>
    <col min="10498" max="10498" width="13.28515625" style="226" customWidth="1"/>
    <col min="10499" max="10499" width="16.140625" style="226" bestFit="1" customWidth="1"/>
    <col min="10500" max="10500" width="23.5703125" style="226" customWidth="1"/>
    <col min="10501" max="10501" width="17.28515625" style="226" customWidth="1"/>
    <col min="10502" max="10502" width="20.5703125" style="226" bestFit="1" customWidth="1"/>
    <col min="10503" max="10503" width="17.140625" style="226" customWidth="1"/>
    <col min="10504" max="10504" width="21.85546875" style="226" bestFit="1" customWidth="1"/>
    <col min="10505" max="10505" width="17.140625" style="226" bestFit="1" customWidth="1"/>
    <col min="10506" max="10506" width="18.140625" style="226" bestFit="1" customWidth="1"/>
    <col min="10507" max="10507" width="26.42578125" style="226" customWidth="1"/>
    <col min="10508" max="10752" width="9.140625" style="226"/>
    <col min="10753" max="10753" width="8.7109375" style="226" bestFit="1" customWidth="1"/>
    <col min="10754" max="10754" width="13.28515625" style="226" customWidth="1"/>
    <col min="10755" max="10755" width="16.140625" style="226" bestFit="1" customWidth="1"/>
    <col min="10756" max="10756" width="23.5703125" style="226" customWidth="1"/>
    <col min="10757" max="10757" width="17.28515625" style="226" customWidth="1"/>
    <col min="10758" max="10758" width="20.5703125" style="226" bestFit="1" customWidth="1"/>
    <col min="10759" max="10759" width="17.140625" style="226" customWidth="1"/>
    <col min="10760" max="10760" width="21.85546875" style="226" bestFit="1" customWidth="1"/>
    <col min="10761" max="10761" width="17.140625" style="226" bestFit="1" customWidth="1"/>
    <col min="10762" max="10762" width="18.140625" style="226" bestFit="1" customWidth="1"/>
    <col min="10763" max="10763" width="26.42578125" style="226" customWidth="1"/>
    <col min="10764" max="11008" width="9.140625" style="226"/>
    <col min="11009" max="11009" width="8.7109375" style="226" bestFit="1" customWidth="1"/>
    <col min="11010" max="11010" width="13.28515625" style="226" customWidth="1"/>
    <col min="11011" max="11011" width="16.140625" style="226" bestFit="1" customWidth="1"/>
    <col min="11012" max="11012" width="23.5703125" style="226" customWidth="1"/>
    <col min="11013" max="11013" width="17.28515625" style="226" customWidth="1"/>
    <col min="11014" max="11014" width="20.5703125" style="226" bestFit="1" customWidth="1"/>
    <col min="11015" max="11015" width="17.140625" style="226" customWidth="1"/>
    <col min="11016" max="11016" width="21.85546875" style="226" bestFit="1" customWidth="1"/>
    <col min="11017" max="11017" width="17.140625" style="226" bestFit="1" customWidth="1"/>
    <col min="11018" max="11018" width="18.140625" style="226" bestFit="1" customWidth="1"/>
    <col min="11019" max="11019" width="26.42578125" style="226" customWidth="1"/>
    <col min="11020" max="11264" width="9.140625" style="226"/>
    <col min="11265" max="11265" width="8.7109375" style="226" bestFit="1" customWidth="1"/>
    <col min="11266" max="11266" width="13.28515625" style="226" customWidth="1"/>
    <col min="11267" max="11267" width="16.140625" style="226" bestFit="1" customWidth="1"/>
    <col min="11268" max="11268" width="23.5703125" style="226" customWidth="1"/>
    <col min="11269" max="11269" width="17.28515625" style="226" customWidth="1"/>
    <col min="11270" max="11270" width="20.5703125" style="226" bestFit="1" customWidth="1"/>
    <col min="11271" max="11271" width="17.140625" style="226" customWidth="1"/>
    <col min="11272" max="11272" width="21.85546875" style="226" bestFit="1" customWidth="1"/>
    <col min="11273" max="11273" width="17.140625" style="226" bestFit="1" customWidth="1"/>
    <col min="11274" max="11274" width="18.140625" style="226" bestFit="1" customWidth="1"/>
    <col min="11275" max="11275" width="26.42578125" style="226" customWidth="1"/>
    <col min="11276" max="11520" width="9.140625" style="226"/>
    <col min="11521" max="11521" width="8.7109375" style="226" bestFit="1" customWidth="1"/>
    <col min="11522" max="11522" width="13.28515625" style="226" customWidth="1"/>
    <col min="11523" max="11523" width="16.140625" style="226" bestFit="1" customWidth="1"/>
    <col min="11524" max="11524" width="23.5703125" style="226" customWidth="1"/>
    <col min="11525" max="11525" width="17.28515625" style="226" customWidth="1"/>
    <col min="11526" max="11526" width="20.5703125" style="226" bestFit="1" customWidth="1"/>
    <col min="11527" max="11527" width="17.140625" style="226" customWidth="1"/>
    <col min="11528" max="11528" width="21.85546875" style="226" bestFit="1" customWidth="1"/>
    <col min="11529" max="11529" width="17.140625" style="226" bestFit="1" customWidth="1"/>
    <col min="11530" max="11530" width="18.140625" style="226" bestFit="1" customWidth="1"/>
    <col min="11531" max="11531" width="26.42578125" style="226" customWidth="1"/>
    <col min="11532" max="11776" width="9.140625" style="226"/>
    <col min="11777" max="11777" width="8.7109375" style="226" bestFit="1" customWidth="1"/>
    <col min="11778" max="11778" width="13.28515625" style="226" customWidth="1"/>
    <col min="11779" max="11779" width="16.140625" style="226" bestFit="1" customWidth="1"/>
    <col min="11780" max="11780" width="23.5703125" style="226" customWidth="1"/>
    <col min="11781" max="11781" width="17.28515625" style="226" customWidth="1"/>
    <col min="11782" max="11782" width="20.5703125" style="226" bestFit="1" customWidth="1"/>
    <col min="11783" max="11783" width="17.140625" style="226" customWidth="1"/>
    <col min="11784" max="11784" width="21.85546875" style="226" bestFit="1" customWidth="1"/>
    <col min="11785" max="11785" width="17.140625" style="226" bestFit="1" customWidth="1"/>
    <col min="11786" max="11786" width="18.140625" style="226" bestFit="1" customWidth="1"/>
    <col min="11787" max="11787" width="26.42578125" style="226" customWidth="1"/>
    <col min="11788" max="12032" width="9.140625" style="226"/>
    <col min="12033" max="12033" width="8.7109375" style="226" bestFit="1" customWidth="1"/>
    <col min="12034" max="12034" width="13.28515625" style="226" customWidth="1"/>
    <col min="12035" max="12035" width="16.140625" style="226" bestFit="1" customWidth="1"/>
    <col min="12036" max="12036" width="23.5703125" style="226" customWidth="1"/>
    <col min="12037" max="12037" width="17.28515625" style="226" customWidth="1"/>
    <col min="12038" max="12038" width="20.5703125" style="226" bestFit="1" customWidth="1"/>
    <col min="12039" max="12039" width="17.140625" style="226" customWidth="1"/>
    <col min="12040" max="12040" width="21.85546875" style="226" bestFit="1" customWidth="1"/>
    <col min="12041" max="12041" width="17.140625" style="226" bestFit="1" customWidth="1"/>
    <col min="12042" max="12042" width="18.140625" style="226" bestFit="1" customWidth="1"/>
    <col min="12043" max="12043" width="26.42578125" style="226" customWidth="1"/>
    <col min="12044" max="12288" width="9.140625" style="226"/>
    <col min="12289" max="12289" width="8.7109375" style="226" bestFit="1" customWidth="1"/>
    <col min="12290" max="12290" width="13.28515625" style="226" customWidth="1"/>
    <col min="12291" max="12291" width="16.140625" style="226" bestFit="1" customWidth="1"/>
    <col min="12292" max="12292" width="23.5703125" style="226" customWidth="1"/>
    <col min="12293" max="12293" width="17.28515625" style="226" customWidth="1"/>
    <col min="12294" max="12294" width="20.5703125" style="226" bestFit="1" customWidth="1"/>
    <col min="12295" max="12295" width="17.140625" style="226" customWidth="1"/>
    <col min="12296" max="12296" width="21.85546875" style="226" bestFit="1" customWidth="1"/>
    <col min="12297" max="12297" width="17.140625" style="226" bestFit="1" customWidth="1"/>
    <col min="12298" max="12298" width="18.140625" style="226" bestFit="1" customWidth="1"/>
    <col min="12299" max="12299" width="26.42578125" style="226" customWidth="1"/>
    <col min="12300" max="12544" width="9.140625" style="226"/>
    <col min="12545" max="12545" width="8.7109375" style="226" bestFit="1" customWidth="1"/>
    <col min="12546" max="12546" width="13.28515625" style="226" customWidth="1"/>
    <col min="12547" max="12547" width="16.140625" style="226" bestFit="1" customWidth="1"/>
    <col min="12548" max="12548" width="23.5703125" style="226" customWidth="1"/>
    <col min="12549" max="12549" width="17.28515625" style="226" customWidth="1"/>
    <col min="12550" max="12550" width="20.5703125" style="226" bestFit="1" customWidth="1"/>
    <col min="12551" max="12551" width="17.140625" style="226" customWidth="1"/>
    <col min="12552" max="12552" width="21.85546875" style="226" bestFit="1" customWidth="1"/>
    <col min="12553" max="12553" width="17.140625" style="226" bestFit="1" customWidth="1"/>
    <col min="12554" max="12554" width="18.140625" style="226" bestFit="1" customWidth="1"/>
    <col min="12555" max="12555" width="26.42578125" style="226" customWidth="1"/>
    <col min="12556" max="12800" width="9.140625" style="226"/>
    <col min="12801" max="12801" width="8.7109375" style="226" bestFit="1" customWidth="1"/>
    <col min="12802" max="12802" width="13.28515625" style="226" customWidth="1"/>
    <col min="12803" max="12803" width="16.140625" style="226" bestFit="1" customWidth="1"/>
    <col min="12804" max="12804" width="23.5703125" style="226" customWidth="1"/>
    <col min="12805" max="12805" width="17.28515625" style="226" customWidth="1"/>
    <col min="12806" max="12806" width="20.5703125" style="226" bestFit="1" customWidth="1"/>
    <col min="12807" max="12807" width="17.140625" style="226" customWidth="1"/>
    <col min="12808" max="12808" width="21.85546875" style="226" bestFit="1" customWidth="1"/>
    <col min="12809" max="12809" width="17.140625" style="226" bestFit="1" customWidth="1"/>
    <col min="12810" max="12810" width="18.140625" style="226" bestFit="1" customWidth="1"/>
    <col min="12811" max="12811" width="26.42578125" style="226" customWidth="1"/>
    <col min="12812" max="13056" width="9.140625" style="226"/>
    <col min="13057" max="13057" width="8.7109375" style="226" bestFit="1" customWidth="1"/>
    <col min="13058" max="13058" width="13.28515625" style="226" customWidth="1"/>
    <col min="13059" max="13059" width="16.140625" style="226" bestFit="1" customWidth="1"/>
    <col min="13060" max="13060" width="23.5703125" style="226" customWidth="1"/>
    <col min="13061" max="13061" width="17.28515625" style="226" customWidth="1"/>
    <col min="13062" max="13062" width="20.5703125" style="226" bestFit="1" customWidth="1"/>
    <col min="13063" max="13063" width="17.140625" style="226" customWidth="1"/>
    <col min="13064" max="13064" width="21.85546875" style="226" bestFit="1" customWidth="1"/>
    <col min="13065" max="13065" width="17.140625" style="226" bestFit="1" customWidth="1"/>
    <col min="13066" max="13066" width="18.140625" style="226" bestFit="1" customWidth="1"/>
    <col min="13067" max="13067" width="26.42578125" style="226" customWidth="1"/>
    <col min="13068" max="13312" width="9.140625" style="226"/>
    <col min="13313" max="13313" width="8.7109375" style="226" bestFit="1" customWidth="1"/>
    <col min="13314" max="13314" width="13.28515625" style="226" customWidth="1"/>
    <col min="13315" max="13315" width="16.140625" style="226" bestFit="1" customWidth="1"/>
    <col min="13316" max="13316" width="23.5703125" style="226" customWidth="1"/>
    <col min="13317" max="13317" width="17.28515625" style="226" customWidth="1"/>
    <col min="13318" max="13318" width="20.5703125" style="226" bestFit="1" customWidth="1"/>
    <col min="13319" max="13319" width="17.140625" style="226" customWidth="1"/>
    <col min="13320" max="13320" width="21.85546875" style="226" bestFit="1" customWidth="1"/>
    <col min="13321" max="13321" width="17.140625" style="226" bestFit="1" customWidth="1"/>
    <col min="13322" max="13322" width="18.140625" style="226" bestFit="1" customWidth="1"/>
    <col min="13323" max="13323" width="26.42578125" style="226" customWidth="1"/>
    <col min="13324" max="13568" width="9.140625" style="226"/>
    <col min="13569" max="13569" width="8.7109375" style="226" bestFit="1" customWidth="1"/>
    <col min="13570" max="13570" width="13.28515625" style="226" customWidth="1"/>
    <col min="13571" max="13571" width="16.140625" style="226" bestFit="1" customWidth="1"/>
    <col min="13572" max="13572" width="23.5703125" style="226" customWidth="1"/>
    <col min="13573" max="13573" width="17.28515625" style="226" customWidth="1"/>
    <col min="13574" max="13574" width="20.5703125" style="226" bestFit="1" customWidth="1"/>
    <col min="13575" max="13575" width="17.140625" style="226" customWidth="1"/>
    <col min="13576" max="13576" width="21.85546875" style="226" bestFit="1" customWidth="1"/>
    <col min="13577" max="13577" width="17.140625" style="226" bestFit="1" customWidth="1"/>
    <col min="13578" max="13578" width="18.140625" style="226" bestFit="1" customWidth="1"/>
    <col min="13579" max="13579" width="26.42578125" style="226" customWidth="1"/>
    <col min="13580" max="13824" width="9.140625" style="226"/>
    <col min="13825" max="13825" width="8.7109375" style="226" bestFit="1" customWidth="1"/>
    <col min="13826" max="13826" width="13.28515625" style="226" customWidth="1"/>
    <col min="13827" max="13827" width="16.140625" style="226" bestFit="1" customWidth="1"/>
    <col min="13828" max="13828" width="23.5703125" style="226" customWidth="1"/>
    <col min="13829" max="13829" width="17.28515625" style="226" customWidth="1"/>
    <col min="13830" max="13830" width="20.5703125" style="226" bestFit="1" customWidth="1"/>
    <col min="13831" max="13831" width="17.140625" style="226" customWidth="1"/>
    <col min="13832" max="13832" width="21.85546875" style="226" bestFit="1" customWidth="1"/>
    <col min="13833" max="13833" width="17.140625" style="226" bestFit="1" customWidth="1"/>
    <col min="13834" max="13834" width="18.140625" style="226" bestFit="1" customWidth="1"/>
    <col min="13835" max="13835" width="26.42578125" style="226" customWidth="1"/>
    <col min="13836" max="14080" width="9.140625" style="226"/>
    <col min="14081" max="14081" width="8.7109375" style="226" bestFit="1" customWidth="1"/>
    <col min="14082" max="14082" width="13.28515625" style="226" customWidth="1"/>
    <col min="14083" max="14083" width="16.140625" style="226" bestFit="1" customWidth="1"/>
    <col min="14084" max="14084" width="23.5703125" style="226" customWidth="1"/>
    <col min="14085" max="14085" width="17.28515625" style="226" customWidth="1"/>
    <col min="14086" max="14086" width="20.5703125" style="226" bestFit="1" customWidth="1"/>
    <col min="14087" max="14087" width="17.140625" style="226" customWidth="1"/>
    <col min="14088" max="14088" width="21.85546875" style="226" bestFit="1" customWidth="1"/>
    <col min="14089" max="14089" width="17.140625" style="226" bestFit="1" customWidth="1"/>
    <col min="14090" max="14090" width="18.140625" style="226" bestFit="1" customWidth="1"/>
    <col min="14091" max="14091" width="26.42578125" style="226" customWidth="1"/>
    <col min="14092" max="14336" width="9.140625" style="226"/>
    <col min="14337" max="14337" width="8.7109375" style="226" bestFit="1" customWidth="1"/>
    <col min="14338" max="14338" width="13.28515625" style="226" customWidth="1"/>
    <col min="14339" max="14339" width="16.140625" style="226" bestFit="1" customWidth="1"/>
    <col min="14340" max="14340" width="23.5703125" style="226" customWidth="1"/>
    <col min="14341" max="14341" width="17.28515625" style="226" customWidth="1"/>
    <col min="14342" max="14342" width="20.5703125" style="226" bestFit="1" customWidth="1"/>
    <col min="14343" max="14343" width="17.140625" style="226" customWidth="1"/>
    <col min="14344" max="14344" width="21.85546875" style="226" bestFit="1" customWidth="1"/>
    <col min="14345" max="14345" width="17.140625" style="226" bestFit="1" customWidth="1"/>
    <col min="14346" max="14346" width="18.140625" style="226" bestFit="1" customWidth="1"/>
    <col min="14347" max="14347" width="26.42578125" style="226" customWidth="1"/>
    <col min="14348" max="14592" width="9.140625" style="226"/>
    <col min="14593" max="14593" width="8.7109375" style="226" bestFit="1" customWidth="1"/>
    <col min="14594" max="14594" width="13.28515625" style="226" customWidth="1"/>
    <col min="14595" max="14595" width="16.140625" style="226" bestFit="1" customWidth="1"/>
    <col min="14596" max="14596" width="23.5703125" style="226" customWidth="1"/>
    <col min="14597" max="14597" width="17.28515625" style="226" customWidth="1"/>
    <col min="14598" max="14598" width="20.5703125" style="226" bestFit="1" customWidth="1"/>
    <col min="14599" max="14599" width="17.140625" style="226" customWidth="1"/>
    <col min="14600" max="14600" width="21.85546875" style="226" bestFit="1" customWidth="1"/>
    <col min="14601" max="14601" width="17.140625" style="226" bestFit="1" customWidth="1"/>
    <col min="14602" max="14602" width="18.140625" style="226" bestFit="1" customWidth="1"/>
    <col min="14603" max="14603" width="26.42578125" style="226" customWidth="1"/>
    <col min="14604" max="14848" width="9.140625" style="226"/>
    <col min="14849" max="14849" width="8.7109375" style="226" bestFit="1" customWidth="1"/>
    <col min="14850" max="14850" width="13.28515625" style="226" customWidth="1"/>
    <col min="14851" max="14851" width="16.140625" style="226" bestFit="1" customWidth="1"/>
    <col min="14852" max="14852" width="23.5703125" style="226" customWidth="1"/>
    <col min="14853" max="14853" width="17.28515625" style="226" customWidth="1"/>
    <col min="14854" max="14854" width="20.5703125" style="226" bestFit="1" customWidth="1"/>
    <col min="14855" max="14855" width="17.140625" style="226" customWidth="1"/>
    <col min="14856" max="14856" width="21.85546875" style="226" bestFit="1" customWidth="1"/>
    <col min="14857" max="14857" width="17.140625" style="226" bestFit="1" customWidth="1"/>
    <col min="14858" max="14858" width="18.140625" style="226" bestFit="1" customWidth="1"/>
    <col min="14859" max="14859" width="26.42578125" style="226" customWidth="1"/>
    <col min="14860" max="15104" width="9.140625" style="226"/>
    <col min="15105" max="15105" width="8.7109375" style="226" bestFit="1" customWidth="1"/>
    <col min="15106" max="15106" width="13.28515625" style="226" customWidth="1"/>
    <col min="15107" max="15107" width="16.140625" style="226" bestFit="1" customWidth="1"/>
    <col min="15108" max="15108" width="23.5703125" style="226" customWidth="1"/>
    <col min="15109" max="15109" width="17.28515625" style="226" customWidth="1"/>
    <col min="15110" max="15110" width="20.5703125" style="226" bestFit="1" customWidth="1"/>
    <col min="15111" max="15111" width="17.140625" style="226" customWidth="1"/>
    <col min="15112" max="15112" width="21.85546875" style="226" bestFit="1" customWidth="1"/>
    <col min="15113" max="15113" width="17.140625" style="226" bestFit="1" customWidth="1"/>
    <col min="15114" max="15114" width="18.140625" style="226" bestFit="1" customWidth="1"/>
    <col min="15115" max="15115" width="26.42578125" style="226" customWidth="1"/>
    <col min="15116" max="15360" width="9.140625" style="226"/>
    <col min="15361" max="15361" width="8.7109375" style="226" bestFit="1" customWidth="1"/>
    <col min="15362" max="15362" width="13.28515625" style="226" customWidth="1"/>
    <col min="15363" max="15363" width="16.140625" style="226" bestFit="1" customWidth="1"/>
    <col min="15364" max="15364" width="23.5703125" style="226" customWidth="1"/>
    <col min="15365" max="15365" width="17.28515625" style="226" customWidth="1"/>
    <col min="15366" max="15366" width="20.5703125" style="226" bestFit="1" customWidth="1"/>
    <col min="15367" max="15367" width="17.140625" style="226" customWidth="1"/>
    <col min="15368" max="15368" width="21.85546875" style="226" bestFit="1" customWidth="1"/>
    <col min="15369" max="15369" width="17.140625" style="226" bestFit="1" customWidth="1"/>
    <col min="15370" max="15370" width="18.140625" style="226" bestFit="1" customWidth="1"/>
    <col min="15371" max="15371" width="26.42578125" style="226" customWidth="1"/>
    <col min="15372" max="15616" width="9.140625" style="226"/>
    <col min="15617" max="15617" width="8.7109375" style="226" bestFit="1" customWidth="1"/>
    <col min="15618" max="15618" width="13.28515625" style="226" customWidth="1"/>
    <col min="15619" max="15619" width="16.140625" style="226" bestFit="1" customWidth="1"/>
    <col min="15620" max="15620" width="23.5703125" style="226" customWidth="1"/>
    <col min="15621" max="15621" width="17.28515625" style="226" customWidth="1"/>
    <col min="15622" max="15622" width="20.5703125" style="226" bestFit="1" customWidth="1"/>
    <col min="15623" max="15623" width="17.140625" style="226" customWidth="1"/>
    <col min="15624" max="15624" width="21.85546875" style="226" bestFit="1" customWidth="1"/>
    <col min="15625" max="15625" width="17.140625" style="226" bestFit="1" customWidth="1"/>
    <col min="15626" max="15626" width="18.140625" style="226" bestFit="1" customWidth="1"/>
    <col min="15627" max="15627" width="26.42578125" style="226" customWidth="1"/>
    <col min="15628" max="15872" width="9.140625" style="226"/>
    <col min="15873" max="15873" width="8.7109375" style="226" bestFit="1" customWidth="1"/>
    <col min="15874" max="15874" width="13.28515625" style="226" customWidth="1"/>
    <col min="15875" max="15875" width="16.140625" style="226" bestFit="1" customWidth="1"/>
    <col min="15876" max="15876" width="23.5703125" style="226" customWidth="1"/>
    <col min="15877" max="15877" width="17.28515625" style="226" customWidth="1"/>
    <col min="15878" max="15878" width="20.5703125" style="226" bestFit="1" customWidth="1"/>
    <col min="15879" max="15879" width="17.140625" style="226" customWidth="1"/>
    <col min="15880" max="15880" width="21.85546875" style="226" bestFit="1" customWidth="1"/>
    <col min="15881" max="15881" width="17.140625" style="226" bestFit="1" customWidth="1"/>
    <col min="15882" max="15882" width="18.140625" style="226" bestFit="1" customWidth="1"/>
    <col min="15883" max="15883" width="26.42578125" style="226" customWidth="1"/>
    <col min="15884" max="16128" width="9.140625" style="226"/>
    <col min="16129" max="16129" width="8.7109375" style="226" bestFit="1" customWidth="1"/>
    <col min="16130" max="16130" width="13.28515625" style="226" customWidth="1"/>
    <col min="16131" max="16131" width="16.140625" style="226" bestFit="1" customWidth="1"/>
    <col min="16132" max="16132" width="23.5703125" style="226" customWidth="1"/>
    <col min="16133" max="16133" width="17.28515625" style="226" customWidth="1"/>
    <col min="16134" max="16134" width="20.5703125" style="226" bestFit="1" customWidth="1"/>
    <col min="16135" max="16135" width="17.140625" style="226" customWidth="1"/>
    <col min="16136" max="16136" width="21.85546875" style="226" bestFit="1" customWidth="1"/>
    <col min="16137" max="16137" width="17.140625" style="226" bestFit="1" customWidth="1"/>
    <col min="16138" max="16138" width="18.140625" style="226" bestFit="1" customWidth="1"/>
    <col min="16139" max="16139" width="26.42578125" style="226" customWidth="1"/>
    <col min="16140" max="16384" width="9.140625" style="226"/>
  </cols>
  <sheetData>
    <row r="1" spans="13:13" s="261" customFormat="1" x14ac:dyDescent="0.2">
      <c r="M1" s="262"/>
    </row>
    <row r="2" spans="13:13" s="261" customFormat="1" x14ac:dyDescent="0.2">
      <c r="M2" s="262"/>
    </row>
    <row r="3" spans="13:13" s="261" customFormat="1" x14ac:dyDescent="0.2">
      <c r="M3" s="262"/>
    </row>
    <row r="4" spans="13:13" s="261" customFormat="1" x14ac:dyDescent="0.2">
      <c r="M4" s="262"/>
    </row>
    <row r="5" spans="13:13" s="261" customFormat="1" x14ac:dyDescent="0.2">
      <c r="M5" s="262"/>
    </row>
    <row r="6" spans="13:13" s="261" customFormat="1" x14ac:dyDescent="0.2">
      <c r="M6" s="262"/>
    </row>
    <row r="7" spans="13:13" s="261" customFormat="1" x14ac:dyDescent="0.2">
      <c r="M7" s="262"/>
    </row>
    <row r="8" spans="13:13" s="261" customFormat="1" x14ac:dyDescent="0.2">
      <c r="M8" s="262"/>
    </row>
    <row r="9" spans="13:13" s="261" customFormat="1" x14ac:dyDescent="0.2">
      <c r="M9" s="262"/>
    </row>
    <row r="10" spans="13:13" s="261" customFormat="1" x14ac:dyDescent="0.2">
      <c r="M10" s="262"/>
    </row>
    <row r="11" spans="13:13" s="261" customFormat="1" x14ac:dyDescent="0.2">
      <c r="M11" s="262"/>
    </row>
    <row r="12" spans="13:13" s="261" customFormat="1" x14ac:dyDescent="0.2">
      <c r="M12" s="262"/>
    </row>
    <row r="13" spans="13:13" s="261" customFormat="1" x14ac:dyDescent="0.2">
      <c r="M13" s="262"/>
    </row>
    <row r="14" spans="13:13" s="261" customFormat="1" x14ac:dyDescent="0.2">
      <c r="M14" s="262"/>
    </row>
    <row r="15" spans="13:13" s="261" customFormat="1" x14ac:dyDescent="0.2">
      <c r="M15" s="262"/>
    </row>
    <row r="16" spans="13:13" s="261" customFormat="1" x14ac:dyDescent="0.2">
      <c r="M16" s="262"/>
    </row>
    <row r="17" spans="13:13" s="261" customFormat="1" x14ac:dyDescent="0.2">
      <c r="M17" s="262"/>
    </row>
    <row r="18" spans="13:13" s="261" customFormat="1" x14ac:dyDescent="0.2">
      <c r="M18" s="262"/>
    </row>
    <row r="19" spans="13:13" s="261" customFormat="1" x14ac:dyDescent="0.2">
      <c r="M19" s="262"/>
    </row>
    <row r="20" spans="13:13" s="261" customFormat="1" x14ac:dyDescent="0.2">
      <c r="M20" s="262"/>
    </row>
    <row r="21" spans="13:13" s="261" customFormat="1" x14ac:dyDescent="0.2">
      <c r="M21" s="262"/>
    </row>
    <row r="22" spans="13:13" s="261" customFormat="1" x14ac:dyDescent="0.2">
      <c r="M22" s="262"/>
    </row>
    <row r="23" spans="13:13" s="261" customFormat="1" x14ac:dyDescent="0.2">
      <c r="M23" s="262"/>
    </row>
    <row r="24" spans="13:13" s="261" customFormat="1" x14ac:dyDescent="0.2">
      <c r="M24" s="262"/>
    </row>
    <row r="25" spans="13:13" s="261" customFormat="1" x14ac:dyDescent="0.2">
      <c r="M25" s="262"/>
    </row>
    <row r="26" spans="13:13" s="261" customFormat="1" x14ac:dyDescent="0.2">
      <c r="M26" s="262"/>
    </row>
    <row r="27" spans="13:13" s="261" customFormat="1" x14ac:dyDescent="0.2">
      <c r="M27" s="262"/>
    </row>
    <row r="28" spans="13:13" s="261" customFormat="1" x14ac:dyDescent="0.2">
      <c r="M28" s="262"/>
    </row>
    <row r="29" spans="13:13" s="261" customFormat="1" x14ac:dyDescent="0.2">
      <c r="M29" s="262"/>
    </row>
    <row r="30" spans="13:13" s="261" customFormat="1" x14ac:dyDescent="0.2">
      <c r="M30" s="262"/>
    </row>
    <row r="31" spans="13:13" s="261" customFormat="1" x14ac:dyDescent="0.2">
      <c r="M31" s="262"/>
    </row>
    <row r="32" spans="13:13" s="261" customFormat="1" x14ac:dyDescent="0.2">
      <c r="M32" s="262"/>
    </row>
    <row r="33" spans="1:13" s="261" customFormat="1" x14ac:dyDescent="0.2">
      <c r="M33" s="262"/>
    </row>
    <row r="34" spans="1:13" s="261" customFormat="1" x14ac:dyDescent="0.2">
      <c r="M34" s="262"/>
    </row>
    <row r="35" spans="1:13" s="261" customFormat="1" x14ac:dyDescent="0.2">
      <c r="M35" s="262"/>
    </row>
    <row r="36" spans="1:13" s="261" customFormat="1" x14ac:dyDescent="0.2">
      <c r="M36" s="262"/>
    </row>
    <row r="37" spans="1:13" s="261" customFormat="1" x14ac:dyDescent="0.2">
      <c r="M37" s="262"/>
    </row>
    <row r="38" spans="1:13" s="261" customFormat="1" x14ac:dyDescent="0.2">
      <c r="M38" s="262"/>
    </row>
    <row r="39" spans="1:13" s="261" customFormat="1" x14ac:dyDescent="0.2">
      <c r="M39" s="262"/>
    </row>
    <row r="40" spans="1:13" s="261" customFormat="1" x14ac:dyDescent="0.2">
      <c r="M40" s="262"/>
    </row>
    <row r="41" spans="1:13" s="261" customFormat="1" x14ac:dyDescent="0.2">
      <c r="M41" s="262"/>
    </row>
    <row r="42" spans="1:13" s="261" customFormat="1" x14ac:dyDescent="0.2">
      <c r="M42" s="262"/>
    </row>
    <row r="43" spans="1:13" s="261" customFormat="1" x14ac:dyDescent="0.2">
      <c r="M43" s="262"/>
    </row>
    <row r="44" spans="1:13" s="261" customFormat="1" ht="15.75" customHeight="1" x14ac:dyDescent="0.2"/>
    <row r="45" spans="1:13" s="261" customFormat="1" ht="23.25" customHeight="1" x14ac:dyDescent="0.2">
      <c r="B45" s="261" t="s">
        <v>960</v>
      </c>
    </row>
    <row r="46" spans="1:13" s="261" customFormat="1" ht="24.75" customHeight="1" x14ac:dyDescent="0.25">
      <c r="A46" s="266" t="str">
        <f>"VIN = "&amp;VIN_min&amp;" V to "&amp;VIN_max&amp;" V, VOUT = "&amp; Vout &amp;" V, IOUT = " &amp;Iout &amp; " A,  Fsw = " &amp; Fsw/1000 &amp;" kHz, Current Limit = "&amp;ROUNDUP(Ilimit_DC,0)&amp;" A"</f>
        <v>VIN = 6 V to 36 V, VOUT = 12 V, IOUT = 12 A,  Fsw = 250 kHz, Current Limit = 12 A</v>
      </c>
    </row>
    <row r="47" spans="1:13" ht="24.75" customHeight="1" thickBot="1" x14ac:dyDescent="0.25">
      <c r="A47" s="228" t="s">
        <v>657</v>
      </c>
    </row>
    <row r="48" spans="1:13" ht="18" customHeight="1" x14ac:dyDescent="0.2">
      <c r="A48" s="532" t="s">
        <v>326</v>
      </c>
      <c r="B48" s="533" t="s">
        <v>325</v>
      </c>
      <c r="C48" s="533" t="s">
        <v>8</v>
      </c>
      <c r="D48" s="671" t="s">
        <v>111</v>
      </c>
      <c r="E48" s="672"/>
      <c r="F48" s="672"/>
      <c r="G48" s="673"/>
      <c r="H48" s="534" t="s">
        <v>312</v>
      </c>
      <c r="I48" s="534" t="s">
        <v>190</v>
      </c>
      <c r="J48" s="534" t="s">
        <v>313</v>
      </c>
      <c r="L48" s="227"/>
      <c r="M48" s="226"/>
    </row>
    <row r="49" spans="1:12" s="233" customFormat="1" ht="15.75" customHeight="1" x14ac:dyDescent="0.2">
      <c r="A49" s="230">
        <v>2</v>
      </c>
      <c r="B49" s="231" t="s">
        <v>669</v>
      </c>
      <c r="C49" s="245">
        <v>0.1</v>
      </c>
      <c r="D49" s="653">
        <f t="shared" ref="D49:D59" si="0">C49</f>
        <v>0.1</v>
      </c>
      <c r="E49" s="654"/>
      <c r="F49" s="654"/>
      <c r="G49" s="246"/>
      <c r="H49" s="247" t="s">
        <v>317</v>
      </c>
      <c r="I49" s="232" t="s">
        <v>314</v>
      </c>
      <c r="J49" s="232" t="s">
        <v>314</v>
      </c>
      <c r="L49" s="234"/>
    </row>
    <row r="50" spans="1:12" s="233" customFormat="1" ht="15.75" x14ac:dyDescent="0.2">
      <c r="A50" s="229">
        <v>1</v>
      </c>
      <c r="B50" s="248" t="s">
        <v>318</v>
      </c>
      <c r="C50" s="257">
        <f>'Design Converter'!D79</f>
        <v>33</v>
      </c>
      <c r="D50" s="655">
        <f t="shared" si="0"/>
        <v>33</v>
      </c>
      <c r="E50" s="656"/>
      <c r="F50" s="656"/>
      <c r="G50" s="250"/>
      <c r="H50" s="251" t="s">
        <v>317</v>
      </c>
      <c r="I50" s="252" t="s">
        <v>314</v>
      </c>
      <c r="J50" s="252" t="s">
        <v>314</v>
      </c>
      <c r="L50" s="234"/>
    </row>
    <row r="51" spans="1:12" s="233" customFormat="1" ht="15.75" x14ac:dyDescent="0.2">
      <c r="A51" s="229">
        <v>1</v>
      </c>
      <c r="B51" s="248" t="s">
        <v>319</v>
      </c>
      <c r="C51" s="249">
        <f>'Design Converter'!D80</f>
        <v>1000</v>
      </c>
      <c r="D51" s="661">
        <f t="shared" si="0"/>
        <v>1000</v>
      </c>
      <c r="E51" s="662"/>
      <c r="F51" s="662"/>
      <c r="G51" s="250"/>
      <c r="H51" s="251" t="s">
        <v>317</v>
      </c>
      <c r="I51" s="252" t="s">
        <v>314</v>
      </c>
      <c r="J51" s="252" t="s">
        <v>314</v>
      </c>
      <c r="L51" s="234"/>
    </row>
    <row r="52" spans="1:12" s="233" customFormat="1" ht="15.75" x14ac:dyDescent="0.2">
      <c r="A52" s="229">
        <v>1</v>
      </c>
      <c r="B52" s="248" t="s">
        <v>661</v>
      </c>
      <c r="C52" s="249">
        <f>Cslope</f>
        <v>270</v>
      </c>
      <c r="D52" s="661">
        <f t="shared" si="0"/>
        <v>270</v>
      </c>
      <c r="E52" s="662"/>
      <c r="F52" s="662"/>
      <c r="G52" s="250"/>
      <c r="H52" s="251" t="s">
        <v>317</v>
      </c>
      <c r="I52" s="252" t="s">
        <v>314</v>
      </c>
      <c r="J52" s="252" t="s">
        <v>314</v>
      </c>
      <c r="L52" s="234"/>
    </row>
    <row r="53" spans="1:12" s="233" customFormat="1" ht="15.75" x14ac:dyDescent="0.2">
      <c r="A53" s="240">
        <v>1</v>
      </c>
      <c r="B53" s="241" t="s">
        <v>320</v>
      </c>
      <c r="C53" s="253">
        <v>100</v>
      </c>
      <c r="D53" s="663">
        <f>C53</f>
        <v>100</v>
      </c>
      <c r="E53" s="664"/>
      <c r="F53" s="664"/>
      <c r="G53" s="254"/>
      <c r="H53" s="243" t="s">
        <v>317</v>
      </c>
      <c r="I53" s="244" t="s">
        <v>314</v>
      </c>
      <c r="J53" s="244" t="s">
        <v>314</v>
      </c>
      <c r="L53" s="234"/>
    </row>
    <row r="54" spans="1:12" s="233" customFormat="1" ht="15.75" x14ac:dyDescent="0.2">
      <c r="A54" s="235">
        <v>1</v>
      </c>
      <c r="B54" s="236" t="s">
        <v>668</v>
      </c>
      <c r="C54" s="480">
        <f>Cdither*1000000000</f>
        <v>39</v>
      </c>
      <c r="D54" s="674">
        <f>C54</f>
        <v>39</v>
      </c>
      <c r="E54" s="675"/>
      <c r="F54" s="675"/>
      <c r="G54" s="481"/>
      <c r="H54" s="238" t="s">
        <v>317</v>
      </c>
      <c r="I54" s="239" t="s">
        <v>314</v>
      </c>
      <c r="J54" s="239" t="s">
        <v>314</v>
      </c>
      <c r="L54" s="234"/>
    </row>
    <row r="55" spans="1:12" s="233" customFormat="1" ht="15.75" x14ac:dyDescent="0.2">
      <c r="A55" s="229">
        <f>ROUNDUP('Design Converter'!E51/10,0)</f>
        <v>10</v>
      </c>
      <c r="B55" s="248" t="s">
        <v>321</v>
      </c>
      <c r="C55" s="256">
        <v>10</v>
      </c>
      <c r="D55" s="667">
        <f>C55</f>
        <v>10</v>
      </c>
      <c r="E55" s="668"/>
      <c r="F55" s="668"/>
      <c r="G55" s="250"/>
      <c r="H55" s="251">
        <v>1210</v>
      </c>
      <c r="I55" s="252" t="s">
        <v>314</v>
      </c>
      <c r="J55" s="252" t="s">
        <v>314</v>
      </c>
      <c r="L55" s="234"/>
    </row>
    <row r="56" spans="1:12" s="233" customFormat="1" ht="15.75" x14ac:dyDescent="0.2">
      <c r="A56" s="229">
        <f>ROUNDUP('Design Converter'!E42/22,0)</f>
        <v>28</v>
      </c>
      <c r="B56" s="248" t="s">
        <v>322</v>
      </c>
      <c r="C56" s="256">
        <v>22</v>
      </c>
      <c r="D56" s="657">
        <f>C56</f>
        <v>22</v>
      </c>
      <c r="E56" s="658"/>
      <c r="F56" s="658"/>
      <c r="G56" s="250"/>
      <c r="H56" s="251">
        <v>1210</v>
      </c>
      <c r="I56" s="252" t="s">
        <v>314</v>
      </c>
      <c r="J56" s="252" t="s">
        <v>314</v>
      </c>
      <c r="L56" s="234"/>
    </row>
    <row r="57" spans="1:12" s="233" customFormat="1" ht="15.75" x14ac:dyDescent="0.2">
      <c r="A57" s="229">
        <v>1</v>
      </c>
      <c r="B57" s="248" t="s">
        <v>323</v>
      </c>
      <c r="C57" s="257">
        <f>'Design Converter'!E59</f>
        <v>100</v>
      </c>
      <c r="D57" s="655">
        <f>C57</f>
        <v>100</v>
      </c>
      <c r="E57" s="656"/>
      <c r="F57" s="656"/>
      <c r="G57" s="250"/>
      <c r="H57" s="251" t="s">
        <v>317</v>
      </c>
      <c r="I57" s="252" t="s">
        <v>314</v>
      </c>
      <c r="J57" s="252" t="s">
        <v>314</v>
      </c>
      <c r="L57" s="234"/>
    </row>
    <row r="58" spans="1:12" s="233" customFormat="1" ht="15.75" x14ac:dyDescent="0.2">
      <c r="A58" s="240">
        <v>1</v>
      </c>
      <c r="B58" s="241" t="s">
        <v>670</v>
      </c>
      <c r="C58" s="255">
        <v>1</v>
      </c>
      <c r="D58" s="665">
        <f t="shared" si="0"/>
        <v>1</v>
      </c>
      <c r="E58" s="666"/>
      <c r="F58" s="666"/>
      <c r="G58" s="254"/>
      <c r="H58" s="243" t="s">
        <v>317</v>
      </c>
      <c r="I58" s="244" t="s">
        <v>314</v>
      </c>
      <c r="J58" s="244" t="s">
        <v>314</v>
      </c>
      <c r="L58" s="234"/>
    </row>
    <row r="59" spans="1:12" s="233" customFormat="1" ht="15.75" x14ac:dyDescent="0.2">
      <c r="A59" s="240">
        <v>1</v>
      </c>
      <c r="B59" s="241" t="s">
        <v>324</v>
      </c>
      <c r="C59" s="255">
        <v>0.1</v>
      </c>
      <c r="D59" s="659">
        <f t="shared" si="0"/>
        <v>0.1</v>
      </c>
      <c r="E59" s="660"/>
      <c r="F59" s="660"/>
      <c r="G59" s="254"/>
      <c r="H59" s="243" t="s">
        <v>317</v>
      </c>
      <c r="I59" s="244" t="s">
        <v>314</v>
      </c>
      <c r="J59" s="244" t="s">
        <v>314</v>
      </c>
      <c r="L59" s="234"/>
    </row>
    <row r="60" spans="1:12" s="233" customFormat="1" ht="15.75" customHeight="1" x14ac:dyDescent="0.2">
      <c r="A60" s="240">
        <v>3</v>
      </c>
      <c r="B60" s="241" t="s">
        <v>667</v>
      </c>
      <c r="C60" s="258" t="s">
        <v>315</v>
      </c>
      <c r="D60" s="669" t="s">
        <v>666</v>
      </c>
      <c r="E60" s="670"/>
      <c r="F60" s="670"/>
      <c r="G60" s="254"/>
      <c r="H60" s="259" t="s">
        <v>328</v>
      </c>
      <c r="I60" s="244" t="s">
        <v>328</v>
      </c>
      <c r="J60" s="244" t="s">
        <v>327</v>
      </c>
      <c r="L60" s="234"/>
    </row>
    <row r="61" spans="1:12" s="233" customFormat="1" ht="15.75" x14ac:dyDescent="0.2">
      <c r="A61" s="229">
        <v>1</v>
      </c>
      <c r="B61" s="248" t="s">
        <v>662</v>
      </c>
      <c r="C61" s="260">
        <f>'Design Converter'!E16</f>
        <v>4.7</v>
      </c>
      <c r="D61" s="685" t="str">
        <f>"Inductor, "&amp;Lf*1000000&amp;"µH, "&amp;Rdcr*1000&amp;"mΩ, &gt;"&amp;ROUNDUP(IL_peak_OCP*1.1,0)&amp;"A"</f>
        <v>Inductor, 4.7µH, 3.35mΩ, &gt;33A</v>
      </c>
      <c r="E61" s="686"/>
      <c r="F61" s="686"/>
      <c r="G61" s="687"/>
      <c r="H61" s="252" t="s">
        <v>328</v>
      </c>
      <c r="I61" s="252" t="s">
        <v>328</v>
      </c>
      <c r="J61" s="252" t="s">
        <v>327</v>
      </c>
      <c r="L61" s="234"/>
    </row>
    <row r="62" spans="1:12" s="233" customFormat="1" ht="15.75" x14ac:dyDescent="0.2">
      <c r="A62" s="240">
        <v>2</v>
      </c>
      <c r="B62" s="241" t="s">
        <v>763</v>
      </c>
      <c r="C62" s="258" t="s">
        <v>315</v>
      </c>
      <c r="D62" s="679">
        <f>'Design Converter'!E87</f>
        <v>5.7</v>
      </c>
      <c r="E62" s="680"/>
      <c r="F62" s="680"/>
      <c r="G62" s="681"/>
      <c r="H62" s="244" t="s">
        <v>314</v>
      </c>
      <c r="I62" s="244" t="str">
        <f>'Design Converter'!E85</f>
        <v>CSD18563Q5A</v>
      </c>
      <c r="J62" s="244" t="s">
        <v>328</v>
      </c>
      <c r="L62" s="234"/>
    </row>
    <row r="63" spans="1:12" s="233" customFormat="1" ht="15.75" x14ac:dyDescent="0.2">
      <c r="A63" s="240">
        <v>2</v>
      </c>
      <c r="B63" s="241" t="s">
        <v>764</v>
      </c>
      <c r="C63" s="258" t="s">
        <v>315</v>
      </c>
      <c r="D63" s="679">
        <f>'Design Converter'!E100</f>
        <v>1.9</v>
      </c>
      <c r="E63" s="680"/>
      <c r="F63" s="680"/>
      <c r="G63" s="681"/>
      <c r="H63" s="244" t="s">
        <v>314</v>
      </c>
      <c r="I63" s="244" t="str">
        <f>'Design Converter'!E98</f>
        <v>CSD16321Q5</v>
      </c>
      <c r="J63" s="244" t="s">
        <v>328</v>
      </c>
      <c r="L63" s="234"/>
    </row>
    <row r="64" spans="1:12" s="233" customFormat="1" ht="15.75" x14ac:dyDescent="0.2">
      <c r="A64" s="235">
        <v>1</v>
      </c>
      <c r="B64" s="236" t="s">
        <v>329</v>
      </c>
      <c r="C64" s="237">
        <f>'Design Converter'!D78</f>
        <v>6.19</v>
      </c>
      <c r="D64" s="647">
        <f t="shared" ref="D64:D74" si="1">C64</f>
        <v>6.19</v>
      </c>
      <c r="E64" s="648"/>
      <c r="F64" s="648"/>
      <c r="G64" s="649"/>
      <c r="H64" s="238" t="s">
        <v>317</v>
      </c>
      <c r="I64" s="239" t="s">
        <v>314</v>
      </c>
      <c r="J64" s="239" t="s">
        <v>314</v>
      </c>
      <c r="L64" s="234"/>
    </row>
    <row r="65" spans="1:12" s="233" customFormat="1" ht="15.75" x14ac:dyDescent="0.2">
      <c r="A65" s="235">
        <v>1</v>
      </c>
      <c r="B65" s="236" t="s">
        <v>333</v>
      </c>
      <c r="C65" s="479">
        <f>Rs*1000</f>
        <v>4</v>
      </c>
      <c r="D65" s="682">
        <f t="shared" si="1"/>
        <v>4</v>
      </c>
      <c r="E65" s="683"/>
      <c r="F65" s="683"/>
      <c r="G65" s="684"/>
      <c r="H65" s="238">
        <v>2512</v>
      </c>
      <c r="I65" s="239" t="s">
        <v>314</v>
      </c>
      <c r="J65" s="239" t="s">
        <v>314</v>
      </c>
      <c r="L65" s="234"/>
    </row>
    <row r="66" spans="1:12" s="233" customFormat="1" ht="15.75" x14ac:dyDescent="0.2">
      <c r="A66" s="235">
        <v>1</v>
      </c>
      <c r="B66" s="236" t="s">
        <v>791</v>
      </c>
      <c r="C66" s="479">
        <f>'Standard Value Calculator'!O21</f>
        <v>4.12</v>
      </c>
      <c r="D66" s="682">
        <f>C66</f>
        <v>4.12</v>
      </c>
      <c r="E66" s="683"/>
      <c r="F66" s="683"/>
      <c r="G66" s="684"/>
      <c r="H66" s="238">
        <v>2512</v>
      </c>
      <c r="I66" s="239" t="s">
        <v>314</v>
      </c>
      <c r="J66" s="239" t="s">
        <v>314</v>
      </c>
      <c r="L66" s="234"/>
    </row>
    <row r="67" spans="1:12" s="233" customFormat="1" ht="15.75" x14ac:dyDescent="0.2">
      <c r="A67" s="235">
        <v>1</v>
      </c>
      <c r="B67" s="236" t="s">
        <v>664</v>
      </c>
      <c r="C67" s="237">
        <f>'Design Converter'!E12</f>
        <v>33.200000000000003</v>
      </c>
      <c r="D67" s="647">
        <f t="shared" si="1"/>
        <v>33.200000000000003</v>
      </c>
      <c r="E67" s="648"/>
      <c r="F67" s="648"/>
      <c r="G67" s="649"/>
      <c r="H67" s="238" t="s">
        <v>317</v>
      </c>
      <c r="I67" s="239" t="s">
        <v>314</v>
      </c>
      <c r="J67" s="239" t="s">
        <v>314</v>
      </c>
      <c r="L67" s="234"/>
    </row>
    <row r="68" spans="1:12" s="233" customFormat="1" ht="15.75" x14ac:dyDescent="0.2">
      <c r="A68" s="235">
        <v>1</v>
      </c>
      <c r="B68" s="236" t="s">
        <v>335</v>
      </c>
      <c r="C68" s="237">
        <f>'Design Converter'!E73</f>
        <v>280</v>
      </c>
      <c r="D68" s="647">
        <f t="shared" si="1"/>
        <v>280</v>
      </c>
      <c r="E68" s="648"/>
      <c r="F68" s="648"/>
      <c r="G68" s="649"/>
      <c r="H68" s="238" t="s">
        <v>317</v>
      </c>
      <c r="I68" s="239" t="s">
        <v>314</v>
      </c>
      <c r="J68" s="239" t="s">
        <v>314</v>
      </c>
      <c r="L68" s="234"/>
    </row>
    <row r="69" spans="1:12" s="233" customFormat="1" ht="15.75" x14ac:dyDescent="0.2">
      <c r="A69" s="235">
        <v>1</v>
      </c>
      <c r="B69" s="236" t="s">
        <v>336</v>
      </c>
      <c r="C69" s="237">
        <f>'Design Converter'!E74</f>
        <v>20</v>
      </c>
      <c r="D69" s="647">
        <f t="shared" si="1"/>
        <v>20</v>
      </c>
      <c r="E69" s="648"/>
      <c r="F69" s="648"/>
      <c r="G69" s="649"/>
      <c r="H69" s="238" t="s">
        <v>317</v>
      </c>
      <c r="I69" s="239" t="s">
        <v>314</v>
      </c>
      <c r="J69" s="239" t="s">
        <v>314</v>
      </c>
      <c r="L69" s="234"/>
    </row>
    <row r="70" spans="1:12" s="233" customFormat="1" ht="15.75" x14ac:dyDescent="0.2">
      <c r="A70" s="240">
        <v>1</v>
      </c>
      <c r="B70" s="241" t="s">
        <v>334</v>
      </c>
      <c r="C70" s="242">
        <v>20</v>
      </c>
      <c r="D70" s="676">
        <f t="shared" si="1"/>
        <v>20</v>
      </c>
      <c r="E70" s="677"/>
      <c r="F70" s="677"/>
      <c r="G70" s="678"/>
      <c r="H70" s="243" t="s">
        <v>317</v>
      </c>
      <c r="I70" s="244" t="s">
        <v>314</v>
      </c>
      <c r="J70" s="244" t="s">
        <v>314</v>
      </c>
      <c r="L70" s="234"/>
    </row>
    <row r="71" spans="1:12" s="477" customFormat="1" ht="15.75" x14ac:dyDescent="0.2">
      <c r="A71" s="240">
        <v>2</v>
      </c>
      <c r="B71" s="241" t="s">
        <v>663</v>
      </c>
      <c r="C71" s="258">
        <v>100</v>
      </c>
      <c r="D71" s="650">
        <f t="shared" si="1"/>
        <v>100</v>
      </c>
      <c r="E71" s="651"/>
      <c r="F71" s="651"/>
      <c r="G71" s="652"/>
      <c r="H71" s="243" t="s">
        <v>317</v>
      </c>
      <c r="I71" s="244" t="s">
        <v>314</v>
      </c>
      <c r="J71" s="244" t="s">
        <v>314</v>
      </c>
      <c r="L71" s="478"/>
    </row>
    <row r="72" spans="1:12" s="233" customFormat="1" ht="15.75" x14ac:dyDescent="0.2">
      <c r="A72" s="235">
        <v>1</v>
      </c>
      <c r="B72" s="236" t="s">
        <v>330</v>
      </c>
      <c r="C72" s="237">
        <f>'Design Converter'!E64</f>
        <v>249</v>
      </c>
      <c r="D72" s="647">
        <f t="shared" si="1"/>
        <v>249</v>
      </c>
      <c r="E72" s="648"/>
      <c r="F72" s="648"/>
      <c r="G72" s="649"/>
      <c r="H72" s="238" t="s">
        <v>317</v>
      </c>
      <c r="I72" s="239" t="s">
        <v>314</v>
      </c>
      <c r="J72" s="239" t="s">
        <v>314</v>
      </c>
      <c r="L72" s="234"/>
    </row>
    <row r="73" spans="1:12" s="233" customFormat="1" ht="15.75" x14ac:dyDescent="0.2">
      <c r="A73" s="235">
        <v>1</v>
      </c>
      <c r="B73" s="236" t="s">
        <v>331</v>
      </c>
      <c r="C73" s="237">
        <f>'Design Converter'!E65</f>
        <v>57.6</v>
      </c>
      <c r="D73" s="647">
        <f t="shared" si="1"/>
        <v>57.6</v>
      </c>
      <c r="E73" s="648"/>
      <c r="F73" s="648"/>
      <c r="G73" s="649"/>
      <c r="H73" s="238" t="s">
        <v>317</v>
      </c>
      <c r="I73" s="239" t="s">
        <v>314</v>
      </c>
      <c r="J73" s="239" t="s">
        <v>314</v>
      </c>
      <c r="L73" s="234"/>
    </row>
    <row r="74" spans="1:12" s="233" customFormat="1" ht="15.75" x14ac:dyDescent="0.2">
      <c r="A74" s="240">
        <v>1</v>
      </c>
      <c r="B74" s="241" t="s">
        <v>332</v>
      </c>
      <c r="C74" s="258">
        <v>2.2000000000000002</v>
      </c>
      <c r="D74" s="650">
        <f t="shared" si="1"/>
        <v>2.2000000000000002</v>
      </c>
      <c r="E74" s="651"/>
      <c r="F74" s="651"/>
      <c r="G74" s="652"/>
      <c r="H74" s="243" t="s">
        <v>317</v>
      </c>
      <c r="I74" s="244" t="s">
        <v>314</v>
      </c>
      <c r="J74" s="244" t="s">
        <v>314</v>
      </c>
      <c r="L74" s="234"/>
    </row>
    <row r="75" spans="1:12" s="233" customFormat="1" ht="14.25" customHeight="1" x14ac:dyDescent="0.2">
      <c r="A75" s="688">
        <v>1</v>
      </c>
      <c r="B75" s="700" t="s">
        <v>337</v>
      </c>
      <c r="C75" s="698" t="s">
        <v>962</v>
      </c>
      <c r="D75" s="692" t="s">
        <v>963</v>
      </c>
      <c r="E75" s="693"/>
      <c r="F75" s="693"/>
      <c r="G75" s="694"/>
      <c r="H75" s="690" t="s">
        <v>930</v>
      </c>
      <c r="I75" s="690" t="s">
        <v>964</v>
      </c>
      <c r="J75" s="690" t="s">
        <v>316</v>
      </c>
      <c r="L75" s="234"/>
    </row>
    <row r="76" spans="1:12" x14ac:dyDescent="0.2">
      <c r="A76" s="689"/>
      <c r="B76" s="701"/>
      <c r="C76" s="699"/>
      <c r="D76" s="695"/>
      <c r="E76" s="696"/>
      <c r="F76" s="696"/>
      <c r="G76" s="697"/>
      <c r="H76" s="691"/>
      <c r="I76" s="691"/>
      <c r="J76" s="691"/>
    </row>
    <row r="78" spans="1:12" x14ac:dyDescent="0.2">
      <c r="A78" s="268" t="s">
        <v>348</v>
      </c>
    </row>
    <row r="79" spans="1:12" ht="14.25" x14ac:dyDescent="0.2">
      <c r="A79" s="132" t="s">
        <v>931</v>
      </c>
      <c r="D79" s="616" t="s">
        <v>929</v>
      </c>
      <c r="E79" s="226" t="s">
        <v>932</v>
      </c>
    </row>
    <row r="80" spans="1:12" x14ac:dyDescent="0.2">
      <c r="A80" s="226" t="s">
        <v>672</v>
      </c>
    </row>
    <row r="81" spans="1:1" x14ac:dyDescent="0.2">
      <c r="A81" s="226" t="s">
        <v>665</v>
      </c>
    </row>
  </sheetData>
  <sheetProtection algorithmName="SHA-512" hashValue="zj1ZOnG5ZLGSkkI2DY+gLCmMrw8P71rfXz4EjDqFTQDrzLYAT9t914azVd1TpbpUEWgsBhQAsjkRT2W6kuKRPg==" saltValue="T/kYANAVyhg7qATEXom6mA==" spinCount="100000" sheet="1" objects="1" selectLockedCells="1" selectUnlockedCells="1"/>
  <mergeCells count="34">
    <mergeCell ref="A75:A76"/>
    <mergeCell ref="J75:J76"/>
    <mergeCell ref="D75:G76"/>
    <mergeCell ref="C75:C76"/>
    <mergeCell ref="B75:B76"/>
    <mergeCell ref="H75:H76"/>
    <mergeCell ref="I75:I76"/>
    <mergeCell ref="D48:G48"/>
    <mergeCell ref="D54:F54"/>
    <mergeCell ref="D70:G70"/>
    <mergeCell ref="D68:G68"/>
    <mergeCell ref="D69:G69"/>
    <mergeCell ref="D62:G62"/>
    <mergeCell ref="D63:G63"/>
    <mergeCell ref="D67:G67"/>
    <mergeCell ref="D65:G65"/>
    <mergeCell ref="D66:G66"/>
    <mergeCell ref="D61:G61"/>
    <mergeCell ref="D72:G72"/>
    <mergeCell ref="D73:G73"/>
    <mergeCell ref="D74:G74"/>
    <mergeCell ref="D71:G71"/>
    <mergeCell ref="D49:F49"/>
    <mergeCell ref="D50:F50"/>
    <mergeCell ref="D56:F56"/>
    <mergeCell ref="D57:F57"/>
    <mergeCell ref="D59:F59"/>
    <mergeCell ref="D51:F51"/>
    <mergeCell ref="D52:F52"/>
    <mergeCell ref="D53:F53"/>
    <mergeCell ref="D58:F58"/>
    <mergeCell ref="D55:F55"/>
    <mergeCell ref="D60:F60"/>
    <mergeCell ref="D64:G64"/>
  </mergeCells>
  <hyperlinks>
    <hyperlink ref="D79" r:id="rId1" xr:uid="{00000000-0004-0000-0100-000000000000}"/>
  </hyperlinks>
  <printOptions horizontalCentered="1"/>
  <pageMargins left="0.23" right="0.23" top="0.7" bottom="0.61" header="0.3" footer="0.5"/>
  <pageSetup scale="46" fitToHeight="2" orientation="landscape" r:id="rId2"/>
  <headerFooter alignWithMargins="0"/>
  <ignoredErrors>
    <ignoredError sqref="H49:H54 H72:H74 H68:H70 H64 H58:H59 H57 H61 H67 H71" numberStoredAsText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0894D-E924-457D-9952-A79F2715328C}">
  <sheetPr codeName="Sheet11"/>
  <dimension ref="A1:AM47"/>
  <sheetViews>
    <sheetView showGridLines="0" showRowColHeaders="0" zoomScaleNormal="100" workbookViewId="0">
      <selection activeCell="B39" sqref="B39:K39"/>
    </sheetView>
  </sheetViews>
  <sheetFormatPr defaultColWidth="9.140625" defaultRowHeight="14.25" x14ac:dyDescent="0.2"/>
  <cols>
    <col min="1" max="1" width="25.7109375" style="629" bestFit="1" customWidth="1"/>
    <col min="2" max="2" width="56.5703125" style="630" customWidth="1"/>
    <col min="3" max="11" width="9.140625" style="623"/>
    <col min="12" max="12" width="20.42578125" style="623" customWidth="1"/>
    <col min="13" max="16384" width="9.140625" style="623"/>
  </cols>
  <sheetData>
    <row r="1" spans="1:12" x14ac:dyDescent="0.2">
      <c r="A1" s="703"/>
      <c r="B1" s="703"/>
      <c r="C1" s="703"/>
      <c r="D1" s="703"/>
      <c r="E1" s="703"/>
      <c r="F1" s="703"/>
      <c r="G1" s="703"/>
      <c r="H1" s="703"/>
      <c r="I1" s="703"/>
      <c r="J1" s="703"/>
      <c r="K1" s="703"/>
      <c r="L1" s="703"/>
    </row>
    <row r="2" spans="1:12" x14ac:dyDescent="0.2">
      <c r="A2" s="703"/>
      <c r="B2" s="703"/>
      <c r="C2" s="703"/>
      <c r="D2" s="703"/>
      <c r="E2" s="703"/>
      <c r="F2" s="703"/>
      <c r="G2" s="703"/>
      <c r="H2" s="703"/>
      <c r="I2" s="703"/>
      <c r="J2" s="703"/>
      <c r="K2" s="703"/>
      <c r="L2" s="703"/>
    </row>
    <row r="3" spans="1:12" x14ac:dyDescent="0.2">
      <c r="A3" s="703"/>
      <c r="B3" s="703"/>
      <c r="C3" s="703"/>
      <c r="D3" s="703"/>
      <c r="E3" s="703"/>
      <c r="F3" s="703"/>
      <c r="G3" s="703"/>
      <c r="H3" s="703"/>
      <c r="I3" s="703"/>
      <c r="J3" s="703"/>
      <c r="K3" s="703"/>
      <c r="L3" s="703"/>
    </row>
    <row r="4" spans="1:12" ht="12.75" customHeight="1" x14ac:dyDescent="0.2">
      <c r="A4" s="704"/>
      <c r="B4" s="704"/>
      <c r="C4" s="704"/>
      <c r="D4" s="704"/>
      <c r="E4" s="704"/>
      <c r="F4" s="704"/>
      <c r="G4" s="704"/>
      <c r="H4" s="704"/>
      <c r="I4" s="704"/>
      <c r="J4" s="704"/>
      <c r="K4" s="704"/>
      <c r="L4" s="704"/>
    </row>
    <row r="5" spans="1:12" x14ac:dyDescent="0.2">
      <c r="A5" s="624" t="s">
        <v>970</v>
      </c>
      <c r="B5" s="625" t="s">
        <v>980</v>
      </c>
      <c r="C5" s="626"/>
      <c r="D5" s="626"/>
      <c r="E5" s="626"/>
      <c r="F5" s="626"/>
      <c r="G5" s="626"/>
      <c r="H5" s="626"/>
      <c r="I5" s="626"/>
      <c r="J5" s="626"/>
      <c r="K5" s="627"/>
      <c r="L5" s="628"/>
    </row>
    <row r="6" spans="1:12" x14ac:dyDescent="0.2">
      <c r="A6" s="624"/>
      <c r="B6" s="625"/>
      <c r="C6" s="626"/>
      <c r="D6" s="626"/>
      <c r="E6" s="626"/>
      <c r="F6" s="626"/>
      <c r="G6" s="626"/>
      <c r="H6" s="626"/>
      <c r="I6" s="626"/>
      <c r="J6" s="628"/>
      <c r="K6" s="628"/>
      <c r="L6" s="628"/>
    </row>
    <row r="35" spans="1:39" x14ac:dyDescent="0.2">
      <c r="A35" s="631" t="s">
        <v>972</v>
      </c>
      <c r="B35" s="632"/>
      <c r="C35" s="626"/>
      <c r="D35" s="626"/>
      <c r="E35" s="626"/>
      <c r="F35" s="626"/>
      <c r="G35" s="626"/>
      <c r="H35" s="626"/>
      <c r="I35" s="626"/>
      <c r="J35" s="626"/>
      <c r="K35" s="626"/>
    </row>
    <row r="36" spans="1:39" x14ac:dyDescent="0.2">
      <c r="A36" s="633" t="s">
        <v>973</v>
      </c>
      <c r="B36" s="705" t="s">
        <v>974</v>
      </c>
      <c r="C36" s="705"/>
      <c r="D36" s="705"/>
      <c r="E36" s="705"/>
      <c r="F36" s="705"/>
      <c r="G36" s="705"/>
      <c r="H36" s="705"/>
      <c r="I36" s="705"/>
      <c r="J36" s="705"/>
      <c r="K36" s="705"/>
    </row>
    <row r="37" spans="1:39" x14ac:dyDescent="0.2">
      <c r="A37" s="631" t="s">
        <v>971</v>
      </c>
      <c r="B37" s="706" t="s">
        <v>975</v>
      </c>
      <c r="C37" s="706"/>
      <c r="D37" s="706"/>
      <c r="E37" s="706"/>
      <c r="F37" s="706"/>
      <c r="G37" s="706"/>
      <c r="H37" s="706"/>
      <c r="I37" s="706"/>
      <c r="J37" s="706"/>
      <c r="K37" s="706"/>
    </row>
    <row r="38" spans="1:39" ht="14.25" customHeight="1" x14ac:dyDescent="0.2">
      <c r="A38" s="631" t="s">
        <v>976</v>
      </c>
      <c r="B38" s="702" t="s">
        <v>979</v>
      </c>
      <c r="C38" s="702"/>
      <c r="D38" s="702"/>
      <c r="E38" s="702"/>
      <c r="F38" s="702"/>
      <c r="G38" s="702"/>
      <c r="H38" s="702"/>
      <c r="I38" s="702"/>
      <c r="J38" s="702"/>
      <c r="K38" s="702"/>
    </row>
    <row r="39" spans="1:39" ht="14.25" customHeight="1" x14ac:dyDescent="0.2">
      <c r="A39" s="631" t="s">
        <v>980</v>
      </c>
      <c r="B39" s="702" t="s">
        <v>981</v>
      </c>
      <c r="C39" s="702"/>
      <c r="D39" s="702"/>
      <c r="E39" s="702"/>
      <c r="F39" s="702"/>
      <c r="G39" s="702"/>
      <c r="H39" s="702"/>
      <c r="I39" s="702"/>
      <c r="J39" s="702"/>
      <c r="K39" s="702"/>
    </row>
    <row r="40" spans="1:39" ht="14.25" customHeight="1" x14ac:dyDescent="0.2">
      <c r="A40" s="631"/>
      <c r="B40" s="702"/>
      <c r="C40" s="702"/>
      <c r="D40" s="702"/>
      <c r="E40" s="702"/>
      <c r="F40" s="702"/>
      <c r="G40" s="702"/>
      <c r="H40" s="702"/>
      <c r="I40" s="702"/>
      <c r="J40" s="702"/>
      <c r="K40" s="702"/>
    </row>
    <row r="41" spans="1:39" ht="14.25" customHeight="1" x14ac:dyDescent="0.2">
      <c r="A41" s="631"/>
      <c r="B41" s="702"/>
      <c r="C41" s="702"/>
      <c r="D41" s="702"/>
      <c r="E41" s="702"/>
      <c r="F41" s="702"/>
      <c r="G41" s="702"/>
      <c r="H41" s="702"/>
      <c r="I41" s="702"/>
      <c r="J41" s="702"/>
      <c r="K41" s="702"/>
    </row>
    <row r="42" spans="1:39" x14ac:dyDescent="0.2">
      <c r="A42" s="631"/>
      <c r="B42" s="702"/>
      <c r="C42" s="702"/>
      <c r="D42" s="702"/>
      <c r="E42" s="702"/>
      <c r="F42" s="702"/>
      <c r="G42" s="702"/>
      <c r="H42" s="702"/>
      <c r="I42" s="702"/>
      <c r="J42" s="702"/>
      <c r="K42" s="702"/>
    </row>
    <row r="43" spans="1:39" x14ac:dyDescent="0.2">
      <c r="A43" s="631"/>
      <c r="B43" s="702"/>
      <c r="C43" s="702"/>
      <c r="D43" s="702"/>
      <c r="E43" s="702"/>
      <c r="F43" s="702"/>
      <c r="G43" s="702"/>
      <c r="H43" s="702"/>
      <c r="I43" s="702"/>
      <c r="J43" s="702"/>
      <c r="K43" s="702"/>
    </row>
    <row r="44" spans="1:39" ht="15" x14ac:dyDescent="0.2">
      <c r="A44" s="631"/>
      <c r="B44" s="702"/>
      <c r="C44" s="702"/>
      <c r="D44" s="702"/>
      <c r="E44" s="702"/>
      <c r="F44" s="702"/>
      <c r="G44" s="702"/>
      <c r="H44" s="702"/>
      <c r="I44" s="702"/>
      <c r="J44" s="702"/>
      <c r="K44" s="702"/>
      <c r="L44" s="634"/>
      <c r="M44" s="634"/>
      <c r="N44" s="634"/>
      <c r="O44" s="634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</row>
    <row r="45" spans="1:39" x14ac:dyDescent="0.2">
      <c r="A45" s="631"/>
      <c r="B45" s="702"/>
      <c r="C45" s="702"/>
      <c r="D45" s="702"/>
      <c r="E45" s="702"/>
      <c r="F45" s="702"/>
      <c r="G45" s="702"/>
      <c r="H45" s="702"/>
      <c r="I45" s="702"/>
      <c r="J45" s="702"/>
      <c r="K45" s="702"/>
    </row>
    <row r="46" spans="1:39" x14ac:dyDescent="0.2">
      <c r="A46" s="631"/>
      <c r="B46" s="702"/>
      <c r="C46" s="702"/>
      <c r="D46" s="702"/>
      <c r="E46" s="702"/>
      <c r="F46" s="702"/>
      <c r="G46" s="702"/>
      <c r="H46" s="702"/>
      <c r="I46" s="702"/>
      <c r="J46" s="702"/>
      <c r="K46" s="702"/>
    </row>
    <row r="47" spans="1:39" x14ac:dyDescent="0.2">
      <c r="A47" s="631"/>
      <c r="B47" s="702"/>
      <c r="C47" s="702"/>
      <c r="D47" s="702"/>
      <c r="E47" s="702"/>
      <c r="F47" s="702"/>
      <c r="G47" s="702"/>
      <c r="H47" s="702"/>
      <c r="I47" s="702"/>
      <c r="J47" s="702"/>
      <c r="K47" s="702"/>
    </row>
  </sheetData>
  <sheetProtection algorithmName="SHA-512" hashValue="CDlNh/V/9tBqATaEgwaDxBDdOYvfy0r+eieZ+vcY7NE/dMz5ku67DFs4fkmZfcMn1g1KjtcJAfTKpEgr29SJZg==" saltValue="oyzUjT29WwcsbP5hIL9zVw==" spinCount="100000" sheet="1" objects="1" selectLockedCells="1" selectUnlockedCells="1"/>
  <mergeCells count="14">
    <mergeCell ref="B39:K39"/>
    <mergeCell ref="A1:L3"/>
    <mergeCell ref="A4:L4"/>
    <mergeCell ref="B36:K36"/>
    <mergeCell ref="B37:K37"/>
    <mergeCell ref="B38:K38"/>
    <mergeCell ref="B46:K46"/>
    <mergeCell ref="B47:K47"/>
    <mergeCell ref="B40:K40"/>
    <mergeCell ref="B41:K41"/>
    <mergeCell ref="B42:K42"/>
    <mergeCell ref="B43:K43"/>
    <mergeCell ref="B44:K44"/>
    <mergeCell ref="B45:K4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00FF"/>
    <pageSetUpPr fitToPage="1"/>
  </sheetPr>
  <dimension ref="A1:W6"/>
  <sheetViews>
    <sheetView zoomScale="85" zoomScaleNormal="85" zoomScaleSheetLayoutView="80" workbookViewId="0">
      <selection activeCell="L63" sqref="L63"/>
    </sheetView>
  </sheetViews>
  <sheetFormatPr defaultColWidth="9.140625" defaultRowHeight="12.75" x14ac:dyDescent="0.2"/>
  <cols>
    <col min="1" max="13" width="9.140625" style="125"/>
    <col min="14" max="14" width="11.85546875" style="125" customWidth="1"/>
    <col min="15" max="16" width="9.140625" style="125"/>
    <col min="17" max="17" width="15.7109375" style="125" customWidth="1"/>
    <col min="18" max="16384" width="9.140625" style="125"/>
  </cols>
  <sheetData>
    <row r="1" spans="1:23" s="117" customFormat="1" ht="47.25" customHeight="1" x14ac:dyDescent="0.2">
      <c r="A1" s="707" t="s">
        <v>928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</row>
    <row r="6" spans="1:23" ht="20.25" x14ac:dyDescent="0.3">
      <c r="B6" s="126" t="s">
        <v>812</v>
      </c>
      <c r="M6" s="126" t="s">
        <v>813</v>
      </c>
      <c r="W6" s="126" t="s">
        <v>814</v>
      </c>
    </row>
  </sheetData>
  <mergeCells count="1">
    <mergeCell ref="A1:Q1"/>
  </mergeCells>
  <pageMargins left="0.19" right="0.2" top="0.75" bottom="0.75" header="0.3" footer="0.3"/>
  <pageSetup scale="3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495"/>
  <sheetViews>
    <sheetView workbookViewId="0">
      <pane ySplit="5" topLeftCell="A107" activePane="bottomLeft" state="frozenSplit"/>
      <selection pane="bottomLeft" activeCell="B136" sqref="B136"/>
    </sheetView>
  </sheetViews>
  <sheetFormatPr defaultRowHeight="12.75" x14ac:dyDescent="0.2"/>
  <cols>
    <col min="1" max="1" width="38.85546875" customWidth="1"/>
    <col min="2" max="2" width="12" customWidth="1"/>
    <col min="3" max="3" width="10" style="2" customWidth="1"/>
    <col min="4" max="4" width="13.42578125" customWidth="1"/>
    <col min="5" max="5" width="11.5703125" customWidth="1"/>
    <col min="7" max="7" width="12.42578125" bestFit="1" customWidth="1"/>
    <col min="8" max="8" width="34.7109375" customWidth="1"/>
    <col min="10" max="10" width="12.42578125" bestFit="1" customWidth="1"/>
    <col min="11" max="11" width="15.140625" customWidth="1"/>
    <col min="12" max="12" width="13.28515625" customWidth="1"/>
    <col min="14" max="14" width="7.85546875" customWidth="1"/>
    <col min="16" max="16" width="8.28515625" customWidth="1"/>
  </cols>
  <sheetData>
    <row r="1" spans="1:16" ht="30.75" customHeight="1" x14ac:dyDescent="0.4">
      <c r="A1" s="710" t="s">
        <v>545</v>
      </c>
      <c r="B1" s="710"/>
      <c r="C1" s="710"/>
      <c r="D1" s="710"/>
      <c r="E1" s="710"/>
      <c r="F1" s="710"/>
      <c r="G1" s="710"/>
      <c r="H1" s="710"/>
      <c r="I1" s="710"/>
    </row>
    <row r="2" spans="1:16" ht="12" customHeight="1" x14ac:dyDescent="0.2">
      <c r="A2" s="49"/>
      <c r="B2" s="49" t="s">
        <v>227</v>
      </c>
      <c r="C2" s="50"/>
      <c r="E2" s="49"/>
      <c r="F2" s="49"/>
      <c r="G2" s="49"/>
      <c r="H2" s="49"/>
      <c r="I2" s="49"/>
    </row>
    <row r="3" spans="1:16" ht="11.25" customHeight="1" x14ac:dyDescent="0.2">
      <c r="A3" s="49"/>
      <c r="B3" s="49" t="s">
        <v>276</v>
      </c>
      <c r="C3" s="51"/>
      <c r="E3" s="49"/>
      <c r="F3" s="49"/>
      <c r="G3" s="49"/>
      <c r="H3" s="49"/>
      <c r="I3" s="49"/>
    </row>
    <row r="4" spans="1:16" ht="11.25" customHeight="1" x14ac:dyDescent="0.2">
      <c r="A4" s="49"/>
      <c r="B4" s="49" t="s">
        <v>228</v>
      </c>
      <c r="C4" s="52"/>
      <c r="E4" s="49"/>
      <c r="F4" s="49"/>
      <c r="G4" s="49"/>
      <c r="H4" s="49"/>
      <c r="I4" s="49"/>
    </row>
    <row r="5" spans="1:16" x14ac:dyDescent="0.2">
      <c r="A5" s="2" t="s">
        <v>51</v>
      </c>
      <c r="B5" s="2" t="s">
        <v>8</v>
      </c>
      <c r="C5" s="2" t="s">
        <v>9</v>
      </c>
      <c r="E5" s="709" t="s">
        <v>13</v>
      </c>
      <c r="F5" s="709"/>
      <c r="G5" s="709"/>
      <c r="H5" s="709"/>
      <c r="I5" s="2" t="s">
        <v>573</v>
      </c>
    </row>
    <row r="6" spans="1:16" ht="16.5" thickBot="1" x14ac:dyDescent="0.3">
      <c r="A6" s="580" t="s">
        <v>179</v>
      </c>
      <c r="B6" s="2"/>
      <c r="D6" s="2"/>
      <c r="E6" s="49"/>
      <c r="F6" s="49"/>
      <c r="G6" s="49"/>
      <c r="H6" s="49"/>
      <c r="I6" s="2"/>
    </row>
    <row r="7" spans="1:16" x14ac:dyDescent="0.2">
      <c r="A7" s="222" t="s">
        <v>373</v>
      </c>
      <c r="B7" s="12">
        <f>'Design Converter'!E6</f>
        <v>6</v>
      </c>
      <c r="C7" s="63" t="s">
        <v>0</v>
      </c>
      <c r="D7" s="121" t="s">
        <v>374</v>
      </c>
      <c r="E7" s="63"/>
      <c r="F7" s="63"/>
      <c r="G7" s="63"/>
      <c r="H7" s="63"/>
      <c r="I7" s="64">
        <v>1</v>
      </c>
    </row>
    <row r="8" spans="1:16" x14ac:dyDescent="0.2">
      <c r="A8" s="223"/>
      <c r="B8" s="29">
        <f>'Design Converter'!E7</f>
        <v>12</v>
      </c>
      <c r="C8" t="s">
        <v>0</v>
      </c>
      <c r="D8" t="s">
        <v>14</v>
      </c>
      <c r="I8" s="57"/>
      <c r="K8" s="313" t="s">
        <v>926</v>
      </c>
      <c r="L8" s="120">
        <v>1</v>
      </c>
      <c r="M8" s="118" t="s">
        <v>937</v>
      </c>
      <c r="O8" s="120">
        <v>1</v>
      </c>
    </row>
    <row r="9" spans="1:16" x14ac:dyDescent="0.2">
      <c r="A9" s="223" t="s">
        <v>372</v>
      </c>
      <c r="B9" s="29">
        <f>'Design Converter'!E8</f>
        <v>36</v>
      </c>
      <c r="C9" t="s">
        <v>0</v>
      </c>
      <c r="D9" s="118" t="s">
        <v>375</v>
      </c>
      <c r="I9" s="57"/>
      <c r="K9" s="313" t="s">
        <v>927</v>
      </c>
      <c r="L9" s="120">
        <v>2</v>
      </c>
      <c r="M9" s="118" t="s">
        <v>936</v>
      </c>
      <c r="O9" s="120">
        <v>2</v>
      </c>
    </row>
    <row r="10" spans="1:16" x14ac:dyDescent="0.2">
      <c r="A10" s="223" t="s">
        <v>809</v>
      </c>
      <c r="B10" s="585">
        <f>B40</f>
        <v>10.597402597402596</v>
      </c>
      <c r="C10" t="s">
        <v>0</v>
      </c>
      <c r="D10" s="118"/>
      <c r="I10" s="57"/>
      <c r="K10" s="597" t="s">
        <v>886</v>
      </c>
      <c r="L10" s="598">
        <v>1</v>
      </c>
      <c r="M10" s="388" t="s">
        <v>934</v>
      </c>
      <c r="O10" s="598">
        <v>2</v>
      </c>
      <c r="P10" s="118" t="s">
        <v>935</v>
      </c>
    </row>
    <row r="11" spans="1:16" x14ac:dyDescent="0.2">
      <c r="A11" s="223"/>
      <c r="B11" s="546"/>
      <c r="C11"/>
      <c r="D11" s="118"/>
      <c r="I11" s="57"/>
    </row>
    <row r="12" spans="1:16" x14ac:dyDescent="0.2">
      <c r="A12" s="56" t="s">
        <v>5</v>
      </c>
      <c r="B12" s="29">
        <f>'Design Converter'!E9</f>
        <v>12</v>
      </c>
      <c r="C12" t="s">
        <v>0</v>
      </c>
      <c r="D12" t="s">
        <v>1</v>
      </c>
      <c r="I12" s="57">
        <v>1</v>
      </c>
    </row>
    <row r="13" spans="1:16" x14ac:dyDescent="0.2">
      <c r="A13" s="56" t="s">
        <v>6</v>
      </c>
      <c r="B13" s="29">
        <f>'Design Converter'!E10</f>
        <v>12</v>
      </c>
      <c r="C13" t="s">
        <v>2</v>
      </c>
      <c r="D13" s="118" t="s">
        <v>376</v>
      </c>
      <c r="I13" s="57">
        <v>1</v>
      </c>
    </row>
    <row r="14" spans="1:16" x14ac:dyDescent="0.2">
      <c r="A14" s="223" t="s">
        <v>470</v>
      </c>
      <c r="B14" s="312">
        <f>Vout/Iout</f>
        <v>1</v>
      </c>
      <c r="C14" s="225" t="s">
        <v>120</v>
      </c>
      <c r="D14" s="118" t="s">
        <v>471</v>
      </c>
      <c r="I14" s="57"/>
    </row>
    <row r="15" spans="1:16" x14ac:dyDescent="0.2">
      <c r="A15" s="223" t="s">
        <v>394</v>
      </c>
      <c r="B15" s="312">
        <f>Vout*Iout</f>
        <v>144</v>
      </c>
      <c r="C15" t="s">
        <v>120</v>
      </c>
      <c r="D15" s="118" t="s">
        <v>426</v>
      </c>
      <c r="I15" s="57"/>
    </row>
    <row r="16" spans="1:16" x14ac:dyDescent="0.2">
      <c r="A16" s="223" t="s">
        <v>152</v>
      </c>
      <c r="B16" s="336">
        <v>0.9</v>
      </c>
      <c r="C16"/>
      <c r="D16" s="621" t="s">
        <v>952</v>
      </c>
      <c r="I16" s="57"/>
    </row>
    <row r="17" spans="1:9" x14ac:dyDescent="0.2">
      <c r="A17" s="223" t="s">
        <v>398</v>
      </c>
      <c r="B17" s="337">
        <f>Pout/Efficiency</f>
        <v>160</v>
      </c>
      <c r="C17" t="s">
        <v>120</v>
      </c>
      <c r="D17" s="118" t="s">
        <v>425</v>
      </c>
      <c r="I17" s="57"/>
    </row>
    <row r="18" spans="1:9" x14ac:dyDescent="0.2">
      <c r="A18" s="223" t="s">
        <v>395</v>
      </c>
      <c r="B18" s="327">
        <f>Pin/VIN_min</f>
        <v>26.666666666666668</v>
      </c>
      <c r="C18" t="s">
        <v>2</v>
      </c>
      <c r="D18" s="118"/>
      <c r="I18" s="57"/>
    </row>
    <row r="19" spans="1:9" x14ac:dyDescent="0.2">
      <c r="A19" s="223" t="s">
        <v>396</v>
      </c>
      <c r="B19" s="327">
        <f>Pin/VIN_nom</f>
        <v>13.333333333333334</v>
      </c>
      <c r="C19" t="s">
        <v>2</v>
      </c>
      <c r="D19" s="118" t="s">
        <v>427</v>
      </c>
      <c r="I19" s="57"/>
    </row>
    <row r="20" spans="1:9" x14ac:dyDescent="0.2">
      <c r="A20" s="223" t="s">
        <v>397</v>
      </c>
      <c r="B20" s="327">
        <f>Pin/VIN_max</f>
        <v>4.4444444444444446</v>
      </c>
      <c r="C20" t="s">
        <v>2</v>
      </c>
      <c r="D20" s="118"/>
      <c r="I20" s="57"/>
    </row>
    <row r="21" spans="1:9" x14ac:dyDescent="0.2">
      <c r="A21" s="223"/>
      <c r="C21"/>
      <c r="D21" s="118"/>
      <c r="I21" s="57"/>
    </row>
    <row r="22" spans="1:9" x14ac:dyDescent="0.2">
      <c r="A22" s="58" t="s">
        <v>7</v>
      </c>
      <c r="B22" s="270">
        <f>'Design Converter'!E11*1000</f>
        <v>250000</v>
      </c>
      <c r="C22" s="118" t="s">
        <v>10</v>
      </c>
      <c r="D22" s="118" t="s">
        <v>377</v>
      </c>
      <c r="I22" s="57">
        <v>1</v>
      </c>
    </row>
    <row r="23" spans="1:9" x14ac:dyDescent="0.2">
      <c r="A23" s="223" t="s">
        <v>851</v>
      </c>
      <c r="B23" s="583">
        <f>1/Fsw</f>
        <v>3.9999999999999998E-6</v>
      </c>
      <c r="C23" s="118" t="s">
        <v>800</v>
      </c>
      <c r="D23" s="118" t="s">
        <v>850</v>
      </c>
      <c r="I23" s="57"/>
    </row>
    <row r="24" spans="1:9" x14ac:dyDescent="0.2">
      <c r="A24" s="58" t="s">
        <v>44</v>
      </c>
      <c r="B24" s="59">
        <v>0.8</v>
      </c>
      <c r="C24" t="s">
        <v>0</v>
      </c>
      <c r="D24" t="s">
        <v>45</v>
      </c>
      <c r="I24" s="57"/>
    </row>
    <row r="25" spans="1:9" x14ac:dyDescent="0.2">
      <c r="A25" s="223" t="s">
        <v>359</v>
      </c>
      <c r="B25" s="328">
        <f>((1/Fsw)-190*10^-9)/(116*10^-12)</f>
        <v>32844.827586206899</v>
      </c>
      <c r="C25" s="225" t="s">
        <v>120</v>
      </c>
      <c r="D25" t="s">
        <v>428</v>
      </c>
      <c r="F25" s="620" t="s">
        <v>948</v>
      </c>
      <c r="I25" s="57"/>
    </row>
    <row r="26" spans="1:9" x14ac:dyDescent="0.2">
      <c r="A26" s="223"/>
      <c r="B26" s="333"/>
      <c r="C26" s="225"/>
      <c r="I26" s="57"/>
    </row>
    <row r="27" spans="1:9" x14ac:dyDescent="0.2">
      <c r="A27" s="223"/>
      <c r="B27" s="333"/>
      <c r="C27" s="225"/>
      <c r="I27" s="57"/>
    </row>
    <row r="28" spans="1:9" x14ac:dyDescent="0.2">
      <c r="A28" s="118" t="s">
        <v>854</v>
      </c>
      <c r="B28" s="30">
        <v>2.9999999999999999E-7</v>
      </c>
      <c r="C28" s="118" t="s">
        <v>800</v>
      </c>
      <c r="D28" s="118" t="s">
        <v>855</v>
      </c>
      <c r="E28" s="2" t="s">
        <v>860</v>
      </c>
      <c r="I28" s="57"/>
    </row>
    <row r="29" spans="1:9" x14ac:dyDescent="0.2">
      <c r="A29" s="118" t="s">
        <v>849</v>
      </c>
      <c r="B29" s="397">
        <f>0.0000003</f>
        <v>2.9999999999999999E-7</v>
      </c>
      <c r="C29" s="118" t="s">
        <v>800</v>
      </c>
      <c r="D29" s="118" t="s">
        <v>856</v>
      </c>
      <c r="E29" s="2" t="s">
        <v>861</v>
      </c>
      <c r="I29" s="57"/>
    </row>
    <row r="30" spans="1:9" x14ac:dyDescent="0.2">
      <c r="A30" s="118" t="s">
        <v>863</v>
      </c>
      <c r="B30" s="584">
        <v>1.1999999999999999E-6</v>
      </c>
      <c r="C30" s="118" t="s">
        <v>800</v>
      </c>
      <c r="E30" s="2" t="s">
        <v>864</v>
      </c>
      <c r="I30" s="57"/>
    </row>
    <row r="31" spans="1:9" x14ac:dyDescent="0.2">
      <c r="A31" s="118"/>
      <c r="B31" s="584"/>
      <c r="C31" s="118"/>
      <c r="E31" s="118"/>
      <c r="I31" s="57"/>
    </row>
    <row r="32" spans="1:9" x14ac:dyDescent="0.2">
      <c r="A32" s="118" t="s">
        <v>859</v>
      </c>
      <c r="B32" s="590">
        <f>Ton_min_boost/Ts</f>
        <v>7.4999999999999997E-2</v>
      </c>
      <c r="C32"/>
      <c r="E32" s="118"/>
      <c r="I32" s="57"/>
    </row>
    <row r="33" spans="1:9" x14ac:dyDescent="0.2">
      <c r="A33" s="118" t="s">
        <v>905</v>
      </c>
      <c r="B33" s="590">
        <f>B30/(2*Ts)</f>
        <v>0.15</v>
      </c>
      <c r="C33"/>
      <c r="E33" s="118"/>
      <c r="I33" s="57"/>
    </row>
    <row r="34" spans="1:9" x14ac:dyDescent="0.2">
      <c r="A34" s="118" t="s">
        <v>862</v>
      </c>
      <c r="B34" s="589">
        <f>1-B28/(2*Ts)</f>
        <v>0.96250000000000002</v>
      </c>
      <c r="C34"/>
      <c r="E34" s="118"/>
      <c r="I34" s="57"/>
    </row>
    <row r="35" spans="1:9" x14ac:dyDescent="0.2">
      <c r="A35" s="223"/>
      <c r="B35" s="586"/>
      <c r="C35" s="225"/>
      <c r="I35" s="57"/>
    </row>
    <row r="36" spans="1:9" x14ac:dyDescent="0.2">
      <c r="A36" s="118" t="s">
        <v>911</v>
      </c>
      <c r="B36" s="589">
        <f>Ton_min_boost/(2*Ts)</f>
        <v>3.7499999999999999E-2</v>
      </c>
      <c r="C36"/>
      <c r="I36" s="57"/>
    </row>
    <row r="37" spans="1:9" x14ac:dyDescent="0.2">
      <c r="A37" s="118" t="s">
        <v>906</v>
      </c>
      <c r="B37" s="589">
        <f>1-B30/(2*Ts)</f>
        <v>0.85</v>
      </c>
      <c r="C37"/>
      <c r="I37" s="57"/>
    </row>
    <row r="38" spans="1:9" x14ac:dyDescent="0.2">
      <c r="A38" s="118" t="s">
        <v>865</v>
      </c>
      <c r="B38" s="589">
        <f>1-Toff_min_buck/Ts</f>
        <v>0.92500000000000004</v>
      </c>
      <c r="C38"/>
      <c r="I38" s="57"/>
    </row>
    <row r="39" spans="1:9" x14ac:dyDescent="0.2">
      <c r="I39" s="57"/>
    </row>
    <row r="40" spans="1:9" x14ac:dyDescent="0.2">
      <c r="A40" s="118" t="s">
        <v>853</v>
      </c>
      <c r="B40" s="587">
        <f>Vout*(1-B33)/B34</f>
        <v>10.597402597402596</v>
      </c>
      <c r="C40" s="118" t="s">
        <v>0</v>
      </c>
      <c r="I40" s="57"/>
    </row>
    <row r="41" spans="1:9" x14ac:dyDescent="0.2">
      <c r="A41" s="118" t="s">
        <v>852</v>
      </c>
      <c r="B41" s="319">
        <f>Vout*(1-B32)</f>
        <v>11.100000000000001</v>
      </c>
      <c r="C41" s="118" t="s">
        <v>0</v>
      </c>
      <c r="I41" s="57"/>
    </row>
    <row r="42" spans="1:9" x14ac:dyDescent="0.2">
      <c r="A42" s="118" t="s">
        <v>858</v>
      </c>
      <c r="B42" s="587">
        <f>Vout/B38</f>
        <v>12.972972972972972</v>
      </c>
      <c r="C42" s="118" t="s">
        <v>0</v>
      </c>
      <c r="I42" s="57"/>
    </row>
    <row r="43" spans="1:9" x14ac:dyDescent="0.2">
      <c r="A43" s="118" t="s">
        <v>857</v>
      </c>
      <c r="B43" s="587">
        <f>Vout/B37*(1-B36)</f>
        <v>13.588235294117647</v>
      </c>
      <c r="C43" s="118" t="s">
        <v>0</v>
      </c>
      <c r="I43" s="57"/>
    </row>
    <row r="44" spans="1:9" ht="13.5" thickBot="1" x14ac:dyDescent="0.25">
      <c r="A44" s="60"/>
      <c r="B44" s="588"/>
      <c r="C44" s="61"/>
      <c r="D44" s="61"/>
      <c r="E44" s="61"/>
      <c r="F44" s="61"/>
      <c r="G44" s="61"/>
      <c r="H44" s="61"/>
      <c r="I44" s="62"/>
    </row>
    <row r="47" spans="1:9" ht="16.5" thickBot="1" x14ac:dyDescent="0.3">
      <c r="A47" s="580" t="s">
        <v>280</v>
      </c>
      <c r="B47" s="2"/>
    </row>
    <row r="48" spans="1:9" x14ac:dyDescent="0.2">
      <c r="A48" s="222" t="s">
        <v>15</v>
      </c>
      <c r="B48" s="307">
        <f>Vout/VIN_nom</f>
        <v>1</v>
      </c>
      <c r="C48" s="322">
        <f>(Vout-VIN_nom)/Vout</f>
        <v>0</v>
      </c>
      <c r="D48" s="311"/>
      <c r="E48" s="121" t="s">
        <v>387</v>
      </c>
      <c r="F48" s="63"/>
      <c r="G48" s="63"/>
      <c r="H48" s="63"/>
      <c r="I48" s="64">
        <v>1</v>
      </c>
    </row>
    <row r="49" spans="1:9" x14ac:dyDescent="0.2">
      <c r="A49" s="223" t="s">
        <v>16</v>
      </c>
      <c r="B49" s="308">
        <f>1-48:48</f>
        <v>0</v>
      </c>
      <c r="C49"/>
      <c r="E49" s="118" t="s">
        <v>388</v>
      </c>
      <c r="I49" s="57">
        <v>1</v>
      </c>
    </row>
    <row r="50" spans="1:9" x14ac:dyDescent="0.2">
      <c r="A50" s="118"/>
      <c r="C50"/>
      <c r="E50" s="118"/>
      <c r="I50" s="57"/>
    </row>
    <row r="51" spans="1:9" x14ac:dyDescent="0.2">
      <c r="A51" s="223" t="s">
        <v>389</v>
      </c>
      <c r="B51" s="320">
        <f>IF(VIN_min&gt;Vout, Vout/VIN_min, (Vout-VIN_min)/Vout)</f>
        <v>0.5</v>
      </c>
      <c r="C51" t="str">
        <f>IF(VIN_min&gt;Vout, "BUCK", "BOOST")</f>
        <v>BOOST</v>
      </c>
      <c r="E51" s="118"/>
      <c r="I51" s="57"/>
    </row>
    <row r="52" spans="1:9" x14ac:dyDescent="0.2">
      <c r="A52" s="223" t="s">
        <v>407</v>
      </c>
      <c r="B52" s="320">
        <f>IF(VIN_nom&gt;Vout, Vout/VIN_nom, (Vout-VIN_nom)/Vout)</f>
        <v>0</v>
      </c>
      <c r="C52" t="str">
        <f>IF(VIN_nom&gt;Vout, "BUCK", "BOOST")</f>
        <v>BOOST</v>
      </c>
      <c r="I52" s="57"/>
    </row>
    <row r="53" spans="1:9" x14ac:dyDescent="0.2">
      <c r="A53" s="223" t="s">
        <v>390</v>
      </c>
      <c r="B53" s="320">
        <f>IF(VIN_max&gt;Vout, Vout/VIN_max, (Vout-VIN_max)/Vout)</f>
        <v>0.33333333333333331</v>
      </c>
      <c r="C53" t="str">
        <f>IF(VIN_max&gt;Vout, "BUCK", "BOOST")</f>
        <v>BUCK</v>
      </c>
      <c r="E53" s="118"/>
      <c r="I53" s="57"/>
    </row>
    <row r="54" spans="1:9" x14ac:dyDescent="0.2">
      <c r="A54" s="118" t="s">
        <v>807</v>
      </c>
      <c r="B54" s="320">
        <f>B33</f>
        <v>0.15</v>
      </c>
      <c r="C54" s="118" t="s">
        <v>806</v>
      </c>
      <c r="E54" s="118"/>
      <c r="I54" s="57"/>
    </row>
    <row r="55" spans="1:9" x14ac:dyDescent="0.2">
      <c r="A55" s="118"/>
      <c r="C55"/>
      <c r="E55" s="118"/>
      <c r="I55" s="57"/>
    </row>
    <row r="56" spans="1:9" x14ac:dyDescent="0.2">
      <c r="A56" s="223" t="s">
        <v>391</v>
      </c>
      <c r="B56" s="310">
        <f>(VIN_min-Vout)*Don_Vinmin/(Fsw*Iout*0.3)</f>
        <v>-3.3333333333333333E-6</v>
      </c>
      <c r="C56" s="310">
        <f>VIN_min/(Iin_Vinmin*0.3*Fsw)*(1-VIN_min/Vout)</f>
        <v>1.5E-6</v>
      </c>
      <c r="D56" s="118" t="s">
        <v>20</v>
      </c>
      <c r="I56" s="57"/>
    </row>
    <row r="57" spans="1:9" x14ac:dyDescent="0.2">
      <c r="A57" s="223" t="s">
        <v>405</v>
      </c>
      <c r="B57" s="310">
        <f>(VIN_nom-Vout)*Don_Vinnom/(Fsw*Iout*0.4)</f>
        <v>0</v>
      </c>
      <c r="C57" s="310">
        <f>VIN_nom/(Iin_Vinnom*0.4*Fsw)*(1-VIN_nom/Vout)</f>
        <v>0</v>
      </c>
      <c r="D57" t="s">
        <v>20</v>
      </c>
      <c r="I57" s="57">
        <v>1</v>
      </c>
    </row>
    <row r="58" spans="1:9" x14ac:dyDescent="0.2">
      <c r="A58" s="223" t="s">
        <v>392</v>
      </c>
      <c r="B58" s="310">
        <f>(VIN_max-Vout)*Don_Vinmax/(Fsw*Iout*0.3)</f>
        <v>8.8888888888888883E-6</v>
      </c>
      <c r="C58" s="310">
        <f>VIN_max/(Iin_Vinmax*0.3*Fsw)*(1-VIN_max/Vout)</f>
        <v>-2.1600000000000002E-4</v>
      </c>
      <c r="D58" s="118" t="s">
        <v>20</v>
      </c>
      <c r="I58" s="57"/>
    </row>
    <row r="59" spans="1:9" x14ac:dyDescent="0.2">
      <c r="A59" s="118"/>
      <c r="C59"/>
      <c r="I59" s="57"/>
    </row>
    <row r="60" spans="1:9" x14ac:dyDescent="0.2">
      <c r="A60" s="118" t="s">
        <v>402</v>
      </c>
      <c r="B60" s="309">
        <f>IF(VIN_min&gt;Vout, (VIN_min-Vout)*Don_Vinmin/(Fsw*Iout*0.3), VIN_min/(Iin_Vinmin*0.3*Fsw)*(1-VIN_min/Vout))</f>
        <v>1.5E-6</v>
      </c>
      <c r="C60" s="118" t="s">
        <v>20</v>
      </c>
      <c r="D60" t="str">
        <f>IF(VIN_min&gt;Vout, "BUCK", "BOOST")</f>
        <v>BOOST</v>
      </c>
      <c r="E60" s="118" t="s">
        <v>816</v>
      </c>
      <c r="I60" s="57"/>
    </row>
    <row r="61" spans="1:9" x14ac:dyDescent="0.2">
      <c r="A61" s="118" t="s">
        <v>403</v>
      </c>
      <c r="B61" s="309">
        <f>IF(VIN_nom&gt;Vout, (VIN_nom-Vout)*Don_Vinnom/(Fsw*Iout*0.4), VIN_nom/(Iin_Vinnom*0.4*Fsw)*(1-VIN_nom/Vout))</f>
        <v>0</v>
      </c>
      <c r="C61" t="s">
        <v>20</v>
      </c>
      <c r="D61" t="str">
        <f>IF(VIN_nom&gt;Vout, "BUCK", "BOOST")</f>
        <v>BOOST</v>
      </c>
      <c r="E61" s="118" t="s">
        <v>817</v>
      </c>
      <c r="I61" s="57"/>
    </row>
    <row r="62" spans="1:9" x14ac:dyDescent="0.2">
      <c r="A62" s="118" t="s">
        <v>404</v>
      </c>
      <c r="B62" s="309">
        <f>IF(VIN_max&gt;Vout, (VIN_max-Vout)*Don_Vinmax/(Fsw*Iout*0.8), VIN_max/(Iin_Vinmax*0.8*Fsw)*(1-VIN_max/Vout))</f>
        <v>3.3333333333333333E-6</v>
      </c>
      <c r="C62" s="118" t="s">
        <v>20</v>
      </c>
      <c r="D62" t="str">
        <f>IF(VIN_max&gt;Vout, "BUCK", "BOOST")</f>
        <v>BUCK</v>
      </c>
      <c r="E62" s="118" t="s">
        <v>977</v>
      </c>
      <c r="I62" s="57"/>
    </row>
    <row r="63" spans="1:9" x14ac:dyDescent="0.2">
      <c r="A63" s="118"/>
      <c r="C63" s="118"/>
      <c r="E63" s="118"/>
      <c r="I63" s="57"/>
    </row>
    <row r="64" spans="1:9" x14ac:dyDescent="0.2">
      <c r="A64" s="223" t="s">
        <v>406</v>
      </c>
      <c r="B64" s="309">
        <f>AVERAGE(B60,B62)</f>
        <v>2.4166666666666667E-6</v>
      </c>
      <c r="C64" t="s">
        <v>20</v>
      </c>
      <c r="D64" s="118" t="s">
        <v>978</v>
      </c>
      <c r="E64" s="118"/>
      <c r="I64" s="57"/>
    </row>
    <row r="65" spans="1:12" x14ac:dyDescent="0.2">
      <c r="A65" s="223"/>
      <c r="C65"/>
      <c r="E65" s="118"/>
      <c r="I65" s="57"/>
    </row>
    <row r="66" spans="1:12" x14ac:dyDescent="0.2">
      <c r="A66" s="223" t="s">
        <v>393</v>
      </c>
      <c r="B66" s="72">
        <f>'Design Converter'!E16/1000000</f>
        <v>4.6999999999999999E-6</v>
      </c>
      <c r="C66" t="s">
        <v>20</v>
      </c>
      <c r="E66" s="118" t="s">
        <v>818</v>
      </c>
      <c r="I66" s="57">
        <v>2</v>
      </c>
    </row>
    <row r="67" spans="1:12" x14ac:dyDescent="0.2">
      <c r="A67" s="223" t="s">
        <v>12</v>
      </c>
      <c r="B67" s="29">
        <f>'Design Converter'!E17/1000</f>
        <v>3.3500000000000001E-3</v>
      </c>
      <c r="C67" s="225" t="s">
        <v>120</v>
      </c>
      <c r="E67" s="118" t="s">
        <v>819</v>
      </c>
      <c r="I67" s="57">
        <v>1</v>
      </c>
    </row>
    <row r="68" spans="1:12" x14ac:dyDescent="0.2">
      <c r="A68" s="223"/>
      <c r="B68" s="118"/>
      <c r="C68" s="118"/>
      <c r="D68" s="118"/>
      <c r="E68" s="118"/>
      <c r="I68" s="57"/>
    </row>
    <row r="69" spans="1:12" x14ac:dyDescent="0.2">
      <c r="A69" s="223" t="s">
        <v>17</v>
      </c>
      <c r="B69" s="320">
        <f>(Vout+Iout*(Rdcr+Rs))/(Vin+Iout*Rs)</f>
        <v>1.0033366533864543</v>
      </c>
      <c r="C69"/>
      <c r="I69" s="57">
        <v>2</v>
      </c>
    </row>
    <row r="70" spans="1:12" x14ac:dyDescent="0.2">
      <c r="A70" s="223" t="s">
        <v>18</v>
      </c>
      <c r="B70" s="320">
        <f>1-_Don2</f>
        <v>-3.3366533864542802E-3</v>
      </c>
      <c r="C70"/>
      <c r="I70" s="57">
        <v>2</v>
      </c>
    </row>
    <row r="71" spans="1:12" x14ac:dyDescent="0.2">
      <c r="A71" s="223"/>
      <c r="C71"/>
      <c r="I71" s="57"/>
    </row>
    <row r="72" spans="1:12" x14ac:dyDescent="0.2">
      <c r="A72" s="223" t="s">
        <v>408</v>
      </c>
      <c r="B72" s="320">
        <f>IF(VIN_min&gt;Vout, (Vout+Iout*(Rdcr+Rs))/(VIN_min+Iout*Rs), (Vout-VIN_min+Iin_Vinmin*(Rdcr))/(Vout-Iin_Vinmin*Rs))</f>
        <v>0.51199551569506729</v>
      </c>
      <c r="C72" t="str">
        <f>IF(VIN_min&gt;Vout, "BUCK", "BOOST")</f>
        <v>BOOST</v>
      </c>
      <c r="E72" s="118" t="s">
        <v>563</v>
      </c>
      <c r="I72" s="57">
        <v>2</v>
      </c>
      <c r="J72" s="118" t="s">
        <v>954</v>
      </c>
      <c r="L72" s="620">
        <f>(1-VIN_min*90%/Vout)</f>
        <v>0.55000000000000004</v>
      </c>
    </row>
    <row r="73" spans="1:12" ht="15.75" x14ac:dyDescent="0.3">
      <c r="A73" s="223" t="s">
        <v>409</v>
      </c>
      <c r="B73" s="320">
        <f>IF(VIN_nom&gt;Vout, (Vout+Iout*(Rdcr+Rs))/(VIN_nom+Iout*Rs), (Vout-VIN_nom+Iin_Vinnom*(Rdcr))/(Vout-Iin_Vinnom*Rs))</f>
        <v>3.7388392857142854E-3</v>
      </c>
      <c r="C73" t="str">
        <f>IF(VIN_nom&gt;Vout, "BUCK", "BOOST")</f>
        <v>BOOST</v>
      </c>
      <c r="E73" s="406" t="s">
        <v>593</v>
      </c>
      <c r="I73" s="57"/>
    </row>
    <row r="74" spans="1:12" x14ac:dyDescent="0.2">
      <c r="A74" s="223" t="s">
        <v>410</v>
      </c>
      <c r="B74" s="320">
        <f>IF(VIN_max&gt;Vout, (Vout+Iout*(Rdcr+Rs))/(VIN_max+Iout*Rs), (Vout-VIN_max+Iin_Vinmax*(Rdcr))/(Vout-Iin_Vinmax*Rs))</f>
        <v>0.33533621837549932</v>
      </c>
      <c r="C74" t="str">
        <f>IF(VIN_max&gt;Vout, "BUCK", "BOOST")</f>
        <v>BUCK</v>
      </c>
      <c r="I74" s="57"/>
    </row>
    <row r="75" spans="1:12" x14ac:dyDescent="0.2">
      <c r="A75" s="223"/>
      <c r="C75"/>
      <c r="I75" s="57"/>
    </row>
    <row r="76" spans="1:12" x14ac:dyDescent="0.2">
      <c r="A76" s="223" t="s">
        <v>22</v>
      </c>
      <c r="B76" s="448">
        <f>'Design Converter'!E40/1000</f>
        <v>0.1</v>
      </c>
      <c r="C76" t="s">
        <v>0</v>
      </c>
      <c r="E76" s="118" t="s">
        <v>603</v>
      </c>
      <c r="I76" s="57">
        <v>1</v>
      </c>
    </row>
    <row r="77" spans="1:12" x14ac:dyDescent="0.2">
      <c r="A77" s="223"/>
      <c r="C77"/>
      <c r="I77" s="57"/>
    </row>
    <row r="78" spans="1:12" x14ac:dyDescent="0.2">
      <c r="A78" s="223" t="s">
        <v>399</v>
      </c>
      <c r="B78" s="576">
        <f>IF(VIN_min&gt;Vout, (VIN_min-Vout)*Don_Vinmin_2/(Fsw*Lf),VIN_min*Don_Vinmin_2/(Lf*Fsw))</f>
        <v>2.6144451865280032</v>
      </c>
      <c r="C78" s="576">
        <f>(VIN_min-Vout)*Don_Vinmin_2/(Fsw*Lf)</f>
        <v>-2.6144451865280032</v>
      </c>
      <c r="D78" s="118" t="s">
        <v>2</v>
      </c>
      <c r="E78" t="str">
        <f>IF(VIN_min&gt;Vout, "BUCK", "BOOST")</f>
        <v>BOOST</v>
      </c>
      <c r="G78" s="30"/>
      <c r="H78">
        <f>VIN_min*Don_Vinmin_2/(Lopt*Fsw)</f>
        <v>5.0846451213854964</v>
      </c>
      <c r="I78" s="57"/>
    </row>
    <row r="79" spans="1:12" x14ac:dyDescent="0.2">
      <c r="A79" s="223" t="s">
        <v>400</v>
      </c>
      <c r="B79" s="576">
        <f>IF(VIN_nom&gt;Vout, (VIN_nom-Vout)*Don_Vinnom_2/(Fsw*Lf),VIN_nom*Don_Vinnom_2/(Lf*Fsw))</f>
        <v>3.8183890577507588E-2</v>
      </c>
      <c r="C79" s="576">
        <f>(VIN_nom-Vout)*Don_Vinnom_2/(Fsw*Lf)</f>
        <v>0</v>
      </c>
      <c r="D79" s="118" t="s">
        <v>2</v>
      </c>
      <c r="E79" t="str">
        <f>IF(VIN_nom&gt;Vout, "BUCK", "BOOST")</f>
        <v>BOOST</v>
      </c>
      <c r="I79" s="57"/>
    </row>
    <row r="80" spans="1:12" x14ac:dyDescent="0.2">
      <c r="A80" s="223" t="s">
        <v>401</v>
      </c>
      <c r="B80" s="576">
        <f>IF(VIN_max&gt;Vout, (VIN_max-Vout)*Don_Vinmax_2/(Fsw*Lf),VIN_max*Don_Vinmax_2/(Lf*Fsw))</f>
        <v>6.8494206306484964</v>
      </c>
      <c r="C80" s="576">
        <f>(VIN_max-Vout)*Don_Vinmax_2/(Fsw*Lf)</f>
        <v>6.8494206306484964</v>
      </c>
      <c r="D80" s="118" t="s">
        <v>2</v>
      </c>
      <c r="E80" t="str">
        <f>IF(VIN_max&gt;Vout, "BUCK", "BOOST")</f>
        <v>BUCK</v>
      </c>
      <c r="I80" s="57"/>
    </row>
    <row r="81" spans="1:9" x14ac:dyDescent="0.2">
      <c r="A81" s="223" t="s">
        <v>810</v>
      </c>
      <c r="B81" s="576">
        <f>VIN_edgebuckboost*Don_buckboost/(Lf*Fsw/2)</f>
        <v>2.7057198121027901</v>
      </c>
      <c r="C81" s="523"/>
      <c r="D81" s="118" t="s">
        <v>2</v>
      </c>
      <c r="E81" s="118" t="s">
        <v>832</v>
      </c>
      <c r="I81" s="57"/>
    </row>
    <row r="82" spans="1:9" x14ac:dyDescent="0.2">
      <c r="A82" s="223"/>
      <c r="B82" s="118"/>
      <c r="C82" s="118"/>
      <c r="D82" s="118"/>
      <c r="I82" s="57"/>
    </row>
    <row r="83" spans="1:9" x14ac:dyDescent="0.2">
      <c r="A83" s="223" t="s">
        <v>866</v>
      </c>
      <c r="B83" s="445">
        <f>IF(VIN_min&gt;Vout, SQRT(1-Don_Vinmin_2)*SQRT(Iout^2+(Iripple_Vinmin^2)/12), SQRT(Don_Vinmin_2)*SQRT(Iin_Vinmin^2+(Iripple_Vinmin^2)/12))</f>
        <v>19.088670408662377</v>
      </c>
      <c r="C83" s="118" t="s">
        <v>2</v>
      </c>
      <c r="E83" s="4">
        <f>SQRT(1-Don_Vinmin_2)*SQRT(Iout^2+(Iripple_Vinmin^2)/12)</f>
        <v>8.3994415363149724</v>
      </c>
      <c r="F83" s="386">
        <f>SQRT(Don_Vinmin_2)*SQRT(Iout^2+(Iripple_Vinmin^2)/12)</f>
        <v>8.6034290943092415</v>
      </c>
      <c r="I83" s="57"/>
    </row>
    <row r="84" spans="1:9" x14ac:dyDescent="0.2">
      <c r="A84" s="223" t="s">
        <v>867</v>
      </c>
      <c r="B84" s="445">
        <f>IF(VIN_nom&gt;Vout, SQRT(1-Don_Vinnom_2)*SQRT(Iout^2+(Iripple_Vinnom^2)/12), SQRT(Don_Vinnom_2)*SQRT(Iin_Vinnom^2+(Iripple_Vinnom^2)/12))</f>
        <v>0.81528092946816355</v>
      </c>
      <c r="C84" s="118" t="s">
        <v>2</v>
      </c>
      <c r="E84" s="4">
        <f>SQRT(1-Don_Vinnom_2)*SQRT(Iout^2+(Iripple_Vinnom^2)/12)</f>
        <v>11.977551009675429</v>
      </c>
      <c r="F84" s="386">
        <f>SQRT(Don_Vinnom_2)*SQRT(Iout^2+(Iripple_Vinnom^2)/12)</f>
        <v>0.73375289533656363</v>
      </c>
      <c r="I84" s="57"/>
    </row>
    <row r="85" spans="1:9" x14ac:dyDescent="0.2">
      <c r="A85" s="223" t="s">
        <v>868</v>
      </c>
      <c r="B85" s="445">
        <f>IF(VIN_max&gt;Vout, SQRT(1-Don_Vinmax_2)*SQRT(Iout^2+(Iripple_Vinmax^2)/12), SQRT(Don_Vinmax_2)*SQRT(Iin_Vinmax^2+(Iripple_Vinmax^2)/12))</f>
        <v>9.9151459288627759</v>
      </c>
      <c r="C85" s="118" t="s">
        <v>2</v>
      </c>
      <c r="E85" s="4">
        <f>SQRT(1-Don_Vinmax_2)*SQRT(Iout^2+(Iripple_Vinmax^2)/12)</f>
        <v>9.9151459288627759</v>
      </c>
      <c r="F85" s="386">
        <f>SQRT(Don_Vinmax_2)*SQRT(Iout^2+(Iripple_Vinmax^2)/12)</f>
        <v>7.0426861440777939</v>
      </c>
      <c r="I85" s="57"/>
    </row>
    <row r="86" spans="1:9" x14ac:dyDescent="0.2">
      <c r="A86" s="223" t="s">
        <v>869</v>
      </c>
      <c r="B86" s="430">
        <f>MAX(B83,B85)^2*Rs</f>
        <v>1.4575093518821707</v>
      </c>
      <c r="C86" s="118" t="s">
        <v>120</v>
      </c>
      <c r="D86" s="118" t="str">
        <f>IF(B85&gt;B83, "BUCK", "BOOST")</f>
        <v>BOOST</v>
      </c>
      <c r="E86" s="118"/>
      <c r="I86" s="57"/>
    </row>
    <row r="87" spans="1:9" x14ac:dyDescent="0.2">
      <c r="A87" s="223"/>
      <c r="B87" s="118"/>
      <c r="C87" s="118"/>
      <c r="D87" s="118"/>
      <c r="I87" s="57"/>
    </row>
    <row r="88" spans="1:9" x14ac:dyDescent="0.2">
      <c r="A88" s="223" t="s">
        <v>424</v>
      </c>
      <c r="B88" s="321">
        <f>MAX(B78:B80)</f>
        <v>6.8494206306484964</v>
      </c>
      <c r="C88" s="118" t="s">
        <v>2</v>
      </c>
      <c r="I88" s="57"/>
    </row>
    <row r="89" spans="1:9" x14ac:dyDescent="0.2">
      <c r="A89" s="223"/>
      <c r="B89" s="118"/>
      <c r="C89" s="118"/>
      <c r="D89" s="118"/>
      <c r="F89" s="118" t="s">
        <v>186</v>
      </c>
      <c r="G89" s="313" t="s">
        <v>412</v>
      </c>
      <c r="I89" s="57"/>
    </row>
    <row r="90" spans="1:9" x14ac:dyDescent="0.2">
      <c r="A90" s="223" t="s">
        <v>411</v>
      </c>
      <c r="B90" s="444">
        <f>IF(VIN_min&gt;Vout, B78/Iout, B78/Iin_Vinmin)</f>
        <v>9.8041694494800116E-2</v>
      </c>
      <c r="C90" t="str">
        <f>IF(VIN_min&gt;Vout, "BUCK", "BOOST")</f>
        <v>BOOST</v>
      </c>
      <c r="F90" s="4">
        <f>B78</f>
        <v>2.6144451865280032</v>
      </c>
      <c r="G90" s="445">
        <f>Iin_Vinmin</f>
        <v>26.666666666666668</v>
      </c>
      <c r="I90" s="57"/>
    </row>
    <row r="91" spans="1:9" x14ac:dyDescent="0.2">
      <c r="A91" s="223"/>
      <c r="B91" s="444">
        <f>IF(VIN_nom&gt;Vout, B79/Iout, B79/Iin_Vinnom)</f>
        <v>2.863791793313069E-3</v>
      </c>
      <c r="C91" t="str">
        <f>IF(VIN_nom&gt;Vout, "BUCK", "BOOST")</f>
        <v>BOOST</v>
      </c>
      <c r="F91" s="4">
        <f>B79</f>
        <v>3.8183890577507588E-2</v>
      </c>
      <c r="G91" s="445">
        <f>Iin_Vinnom</f>
        <v>13.333333333333334</v>
      </c>
      <c r="I91" s="57"/>
    </row>
    <row r="92" spans="1:9" x14ac:dyDescent="0.2">
      <c r="A92" s="223"/>
      <c r="B92" s="444">
        <f>IF(VIN_max&gt;Vout, B80/Iout, B80/Iin_Vinmax)</f>
        <v>0.57078505255404133</v>
      </c>
      <c r="C92" t="str">
        <f>IF(VIN_max&gt;Vout, "BUCK", "BOOST")</f>
        <v>BUCK</v>
      </c>
      <c r="F92" s="4">
        <f>B80</f>
        <v>6.8494206306484964</v>
      </c>
      <c r="G92" s="445">
        <f>Iin_Vinmax</f>
        <v>4.4444444444444446</v>
      </c>
      <c r="I92" s="57"/>
    </row>
    <row r="93" spans="1:9" x14ac:dyDescent="0.2">
      <c r="A93" s="223"/>
      <c r="C93"/>
      <c r="I93" s="57"/>
    </row>
    <row r="94" spans="1:9" x14ac:dyDescent="0.2">
      <c r="A94" t="s">
        <v>269</v>
      </c>
      <c r="B94" s="336">
        <v>100</v>
      </c>
      <c r="C94"/>
      <c r="D94" s="118"/>
      <c r="I94" s="57"/>
    </row>
    <row r="95" spans="1:9" x14ac:dyDescent="0.2">
      <c r="A95" s="223" t="s">
        <v>268</v>
      </c>
      <c r="B95" s="421">
        <f>Rdcr*(1+0.0039*(B94-25))</f>
        <v>4.3298750000000004E-3</v>
      </c>
      <c r="C95" s="225" t="s">
        <v>120</v>
      </c>
      <c r="I95" s="57"/>
    </row>
    <row r="96" spans="1:9" ht="13.5" thickBot="1" x14ac:dyDescent="0.25">
      <c r="A96" s="340"/>
      <c r="B96" s="341"/>
      <c r="C96" s="61"/>
      <c r="D96" s="61"/>
      <c r="E96" s="61"/>
      <c r="F96" s="61"/>
      <c r="G96" s="61"/>
      <c r="H96" s="61"/>
      <c r="I96" s="62"/>
    </row>
    <row r="97" spans="1:16" x14ac:dyDescent="0.2">
      <c r="A97" s="2"/>
      <c r="B97" s="1"/>
      <c r="C97" s="1"/>
    </row>
    <row r="98" spans="1:16" ht="16.5" thickBot="1" x14ac:dyDescent="0.3">
      <c r="A98" s="580" t="s">
        <v>542</v>
      </c>
      <c r="B98" s="1"/>
      <c r="C98" s="1"/>
    </row>
    <row r="99" spans="1:16" x14ac:dyDescent="0.2">
      <c r="A99" s="94"/>
      <c r="B99" s="63"/>
      <c r="C99" s="63"/>
      <c r="D99" s="63"/>
      <c r="E99" s="63"/>
      <c r="F99" s="63"/>
      <c r="G99" s="63"/>
      <c r="H99" s="63"/>
      <c r="I99" s="64"/>
    </row>
    <row r="100" spans="1:16" x14ac:dyDescent="0.2">
      <c r="A100" s="223" t="s">
        <v>423</v>
      </c>
      <c r="B100" s="29">
        <f>'Design Converter'!E26</f>
        <v>12</v>
      </c>
      <c r="C100" t="s">
        <v>2</v>
      </c>
      <c r="E100" s="118" t="s">
        <v>736</v>
      </c>
      <c r="I100" s="57"/>
      <c r="K100" s="118" t="s">
        <v>434</v>
      </c>
      <c r="N100" s="118" t="s">
        <v>594</v>
      </c>
    </row>
    <row r="101" spans="1:16" x14ac:dyDescent="0.2">
      <c r="A101" s="223"/>
      <c r="C101"/>
      <c r="I101" s="57"/>
      <c r="K101" s="118" t="s">
        <v>449</v>
      </c>
      <c r="L101" s="118" t="s">
        <v>450</v>
      </c>
    </row>
    <row r="102" spans="1:16" x14ac:dyDescent="0.2">
      <c r="A102" s="223" t="s">
        <v>431</v>
      </c>
      <c r="B102" s="327">
        <f>IF(VIN_min&gt;Vout, Ilimit_DC-Iripple_Vinmin/2, Ilimit_DC*Vout/VIN_min/0.9+Iripple_Vinmin/2)</f>
        <v>27.973889259930665</v>
      </c>
      <c r="C102" t="s">
        <v>2</v>
      </c>
      <c r="D102" t="str">
        <f>IF(VIN_min&gt;Vout, "BUCK", "BOOST")</f>
        <v>BOOST</v>
      </c>
      <c r="E102" s="621" t="s">
        <v>955</v>
      </c>
      <c r="I102" s="57"/>
      <c r="K102" s="327">
        <f>Ilimit_DC-Iripple_Vinmin/2</f>
        <v>10.692777406735999</v>
      </c>
      <c r="L102" s="327">
        <f>Ilimit_DC/(1-Don_Vinmin_2)+Iripple_Vinmin/2</f>
        <v>25.897160567075169</v>
      </c>
      <c r="M102" t="str">
        <f>IF(VIN_min&gt;Vout, "BUCK", "BOOST")</f>
        <v>BOOST</v>
      </c>
      <c r="N102" s="329">
        <f>IF(VIN_min&gt;Vout, Buck_CS_threshold/K102, Boost_CS_Threshold/L102)</f>
        <v>4.6337126299693335E-3</v>
      </c>
      <c r="P102" s="335">
        <f>Boost_CS_Threshold/L102</f>
        <v>4.6337126299693335E-3</v>
      </c>
    </row>
    <row r="103" spans="1:16" x14ac:dyDescent="0.2">
      <c r="A103" s="223" t="s">
        <v>433</v>
      </c>
      <c r="B103" s="327">
        <f>IF(VIN_nom&gt;Vout, Ilimit_DC-Iripple_Vinnom/2, Ilimit_DC/(1-Don_Vinnom_2)+Iripple_Vinnom/2)</f>
        <v>12.064126393280688</v>
      </c>
      <c r="C103" t="s">
        <v>2</v>
      </c>
      <c r="D103" t="str">
        <f>IF(VIN_nom&gt;Vout, "BUCK", "BOOST")</f>
        <v>BOOST</v>
      </c>
      <c r="E103" s="118" t="s">
        <v>430</v>
      </c>
      <c r="I103" s="57"/>
      <c r="K103" s="327">
        <f>Ilimit_DC-Iripple_Vinnom/2</f>
        <v>11.980908054711247</v>
      </c>
      <c r="L103" s="327">
        <f>Ilimit_DC/(1-Don_Vinnom_2)+Iripple_Vinnom/2</f>
        <v>12.064126393280688</v>
      </c>
      <c r="M103" t="str">
        <f>IF(VIN_nom&gt;Vout, "BUCK", "BOOST")</f>
        <v>BOOST</v>
      </c>
      <c r="N103" s="329">
        <f>IF(VIN_nom&gt;Vout, Buck_CS_threshold/K103, Boost_CS_Threshold/L103)</f>
        <v>9.9468453900512805E-3</v>
      </c>
      <c r="P103" s="335">
        <f>Boost_CS_Threshold/L103</f>
        <v>9.9468453900512805E-3</v>
      </c>
    </row>
    <row r="104" spans="1:16" x14ac:dyDescent="0.2">
      <c r="A104" s="223" t="s">
        <v>432</v>
      </c>
      <c r="B104" s="327">
        <f>IF(VIN_max&gt;Vout, Ilimit_DC-Iripple_Vinmax/2, Ilimit_DC/(1-Don_Vinmax_2)+Iripple_Vinmax/2)</f>
        <v>8.5752896846757523</v>
      </c>
      <c r="C104" t="s">
        <v>2</v>
      </c>
      <c r="D104" t="str">
        <f>IF(VIN_max&gt;Vout, "BUCK", "BOOST")</f>
        <v>BUCK</v>
      </c>
      <c r="E104" s="118" t="s">
        <v>820</v>
      </c>
      <c r="I104" s="57"/>
      <c r="K104" s="327">
        <f>Ilimit_DC-Iripple_Vinmax/2</f>
        <v>8.5752896846757523</v>
      </c>
      <c r="L104" s="327">
        <f>Ilimit_DC/(1-Don_Vinmax_2)+Iripple_Vinmax/2</f>
        <v>21.478951168753742</v>
      </c>
      <c r="M104" t="str">
        <f>IF(VIN_max&gt;Vout, "BUCK", "BOOST")</f>
        <v>BUCK</v>
      </c>
      <c r="N104" s="329">
        <f>IF(VIN_max&gt;Vout, Buck_CS_threshold/K104, Boost_CS_Threshold/L104)</f>
        <v>9.3291309030599772E-3</v>
      </c>
      <c r="P104" s="335">
        <f>Boost_CS_Threshold/L104</f>
        <v>5.5868649757241694E-3</v>
      </c>
    </row>
    <row r="105" spans="1:16" x14ac:dyDescent="0.2">
      <c r="A105" s="223" t="s">
        <v>808</v>
      </c>
      <c r="B105" s="327">
        <f>Ilimit_DC/(1-Don_buckboost)+Iripple_edgebuckboost/2</f>
        <v>15.470506964874923</v>
      </c>
      <c r="C105" s="118" t="s">
        <v>2</v>
      </c>
      <c r="D105" s="118" t="s">
        <v>821</v>
      </c>
      <c r="I105" s="57"/>
    </row>
    <row r="106" spans="1:16" x14ac:dyDescent="0.2">
      <c r="I106" s="57"/>
    </row>
    <row r="107" spans="1:16" x14ac:dyDescent="0.2">
      <c r="A107" s="223" t="s">
        <v>733</v>
      </c>
      <c r="B107" s="524">
        <v>6.8000000000000005E-2</v>
      </c>
      <c r="C107" s="118" t="s">
        <v>0</v>
      </c>
      <c r="I107" s="57"/>
    </row>
    <row r="108" spans="1:16" x14ac:dyDescent="0.2">
      <c r="A108" s="223" t="s">
        <v>421</v>
      </c>
      <c r="B108" s="326">
        <v>0.08</v>
      </c>
      <c r="C108" s="118" t="s">
        <v>0</v>
      </c>
      <c r="D108" s="2" t="s">
        <v>833</v>
      </c>
      <c r="E108" s="621" t="s">
        <v>949</v>
      </c>
      <c r="I108" s="57"/>
    </row>
    <row r="109" spans="1:16" x14ac:dyDescent="0.2">
      <c r="A109" s="223" t="s">
        <v>738</v>
      </c>
      <c r="B109" s="524">
        <v>9.1999999999999998E-2</v>
      </c>
      <c r="C109" s="118" t="s">
        <v>0</v>
      </c>
      <c r="I109" s="57"/>
    </row>
    <row r="110" spans="1:16" x14ac:dyDescent="0.2">
      <c r="A110" s="223"/>
      <c r="B110" s="386"/>
      <c r="C110" s="118"/>
      <c r="I110" s="57"/>
    </row>
    <row r="111" spans="1:16" x14ac:dyDescent="0.2">
      <c r="A111" s="223" t="s">
        <v>734</v>
      </c>
      <c r="B111" s="524">
        <v>0.108</v>
      </c>
      <c r="C111" s="118" t="s">
        <v>0</v>
      </c>
      <c r="I111" s="57"/>
    </row>
    <row r="112" spans="1:16" x14ac:dyDescent="0.2">
      <c r="A112" s="223" t="s">
        <v>422</v>
      </c>
      <c r="B112" s="326">
        <v>0.12</v>
      </c>
      <c r="C112" s="118" t="s">
        <v>0</v>
      </c>
      <c r="D112" s="2" t="s">
        <v>834</v>
      </c>
      <c r="E112" s="621" t="s">
        <v>951</v>
      </c>
      <c r="I112" s="57"/>
    </row>
    <row r="113" spans="1:12" x14ac:dyDescent="0.2">
      <c r="A113" s="223" t="s">
        <v>739</v>
      </c>
      <c r="B113" s="524">
        <v>0.13800000000000001</v>
      </c>
      <c r="C113" s="118" t="s">
        <v>0</v>
      </c>
      <c r="E113" s="621" t="s">
        <v>953</v>
      </c>
      <c r="I113" s="57"/>
    </row>
    <row r="114" spans="1:12" x14ac:dyDescent="0.2">
      <c r="I114" s="57"/>
    </row>
    <row r="115" spans="1:12" x14ac:dyDescent="0.2">
      <c r="A115" s="572" t="s">
        <v>828</v>
      </c>
      <c r="B115" s="118"/>
      <c r="C115" s="118"/>
      <c r="I115" s="57"/>
    </row>
    <row r="116" spans="1:12" x14ac:dyDescent="0.2">
      <c r="A116" s="223" t="s">
        <v>824</v>
      </c>
      <c r="B116" s="329">
        <f>IF(VIN_min&gt;Vout,Buck_CS_threshold/B102, Boost_CS_Threshold/B102)</f>
        <v>4.2897145579211971E-3</v>
      </c>
      <c r="C116" s="225" t="s">
        <v>120</v>
      </c>
      <c r="D116" t="str">
        <f>IF(VIN_min&gt;Vout, "BUCK", "BOOST")</f>
        <v>BOOST</v>
      </c>
      <c r="I116" s="57"/>
    </row>
    <row r="117" spans="1:12" x14ac:dyDescent="0.2">
      <c r="A117" s="223" t="s">
        <v>825</v>
      </c>
      <c r="B117" s="329">
        <f>IF(VIN_nom&gt;Vout,Buck_CS_threshold/B103, Boost_CS_Threshold/B103)</f>
        <v>9.9468453900512805E-3</v>
      </c>
      <c r="C117" s="225" t="s">
        <v>120</v>
      </c>
      <c r="D117" t="str">
        <f>IF(VIN_nom&gt;Vout, "BUCK", "BOOST")</f>
        <v>BOOST</v>
      </c>
      <c r="I117" s="57"/>
    </row>
    <row r="118" spans="1:12" x14ac:dyDescent="0.2">
      <c r="A118" s="223" t="s">
        <v>826</v>
      </c>
      <c r="B118" s="329">
        <f>IF(VIN_max&gt;Vout,Buck_CS_threshold/B104, Boost_CS_Threshold/B104)</f>
        <v>9.3291309030599772E-3</v>
      </c>
      <c r="C118" s="225" t="s">
        <v>120</v>
      </c>
      <c r="D118" t="str">
        <f>IF(VIN_max&gt;Vout, "BUCK", "BOOST")</f>
        <v>BUCK</v>
      </c>
      <c r="I118" s="57"/>
    </row>
    <row r="119" spans="1:12" x14ac:dyDescent="0.2">
      <c r="A119" s="223" t="s">
        <v>829</v>
      </c>
      <c r="B119" s="329">
        <f>IF(VIN_min&lt;VIN_edgebuckboost,Buck_CS_threshold/B105, 10)</f>
        <v>5.1711298266848222E-3</v>
      </c>
      <c r="C119" s="225" t="s">
        <v>120</v>
      </c>
      <c r="D119" s="118" t="s">
        <v>830</v>
      </c>
      <c r="I119" s="57"/>
    </row>
    <row r="120" spans="1:12" x14ac:dyDescent="0.2">
      <c r="A120" s="223"/>
      <c r="B120" s="30"/>
      <c r="C120" s="225"/>
      <c r="I120" s="57"/>
    </row>
    <row r="121" spans="1:12" x14ac:dyDescent="0.2">
      <c r="A121" s="223" t="s">
        <v>429</v>
      </c>
      <c r="B121" s="330">
        <f>MIN(B116:B118)</f>
        <v>4.2897145579211971E-3</v>
      </c>
      <c r="C121" s="225" t="s">
        <v>120</v>
      </c>
      <c r="E121" s="118" t="s">
        <v>827</v>
      </c>
      <c r="I121" s="57"/>
    </row>
    <row r="122" spans="1:12" x14ac:dyDescent="0.2">
      <c r="A122" s="223" t="s">
        <v>200</v>
      </c>
      <c r="B122" s="570">
        <f>'Design Converter'!E28/1000</f>
        <v>4.0000000000000001E-3</v>
      </c>
      <c r="C122" s="225" t="s">
        <v>120</v>
      </c>
      <c r="E122" s="118" t="s">
        <v>435</v>
      </c>
      <c r="I122" s="57"/>
      <c r="K122" s="118"/>
      <c r="L122" s="118"/>
    </row>
    <row r="123" spans="1:12" x14ac:dyDescent="0.2">
      <c r="A123" s="223"/>
      <c r="B123" s="446"/>
      <c r="C123" s="225"/>
      <c r="E123" s="118"/>
      <c r="I123" s="57"/>
      <c r="K123" s="118"/>
      <c r="L123" s="118"/>
    </row>
    <row r="124" spans="1:12" x14ac:dyDescent="0.2">
      <c r="A124" s="223" t="s">
        <v>595</v>
      </c>
      <c r="B124" s="4">
        <f>Boost_CS_Threshold/Rs</f>
        <v>30</v>
      </c>
      <c r="C124" s="118" t="s">
        <v>2</v>
      </c>
      <c r="E124" s="118" t="s">
        <v>822</v>
      </c>
      <c r="I124" s="57"/>
    </row>
    <row r="125" spans="1:12" x14ac:dyDescent="0.2">
      <c r="A125" s="223" t="s">
        <v>735</v>
      </c>
      <c r="B125" s="4">
        <f>Buck_CS_threshold/Rs</f>
        <v>20</v>
      </c>
      <c r="C125" s="118" t="s">
        <v>2</v>
      </c>
      <c r="E125" s="118" t="s">
        <v>823</v>
      </c>
      <c r="I125" s="57"/>
    </row>
    <row r="126" spans="1:12" x14ac:dyDescent="0.2">
      <c r="A126" s="223"/>
      <c r="I126" s="57"/>
    </row>
    <row r="127" spans="1:12" ht="15.75" x14ac:dyDescent="0.3">
      <c r="A127" s="223" t="s">
        <v>596</v>
      </c>
      <c r="B127" s="337">
        <f>IF(VIN_min&gt;Vout,Buck_CS_threshold/Rs+Iripple_Vinmin/2, (Boost_CS_Threshold/Rs-Iripple_Vinmin/2)*(1-Don_Vinmin_2))</f>
        <v>14.002204041650426</v>
      </c>
      <c r="C127" t="s">
        <v>2</v>
      </c>
      <c r="D127" t="str">
        <f>IF(VIN_min&gt;Vout, "BUCK", "BOOST")</f>
        <v>BOOST</v>
      </c>
      <c r="E127" s="118" t="s">
        <v>602</v>
      </c>
      <c r="I127" s="57"/>
    </row>
    <row r="128" spans="1:12" x14ac:dyDescent="0.2">
      <c r="A128" s="223" t="s">
        <v>658</v>
      </c>
      <c r="B128" s="337">
        <f>IF(VIN_nom&gt;Vout,Buck_CS_threshold/Rs+Iripple_Vinnom/2, IF(VIN_nom&lt;VIN_edgebuckboost,(Boost_CS_Threshold/Rs-Iripple_Vinnom/2)*(1-Don_Vinnom_2),(Buck_CS_threshold/Rs-Iripple_Vinnom/2)*(1-Don_Vinnom_2)))</f>
        <v>19.906202650712046</v>
      </c>
      <c r="C128" t="s">
        <v>2</v>
      </c>
      <c r="D128" t="str">
        <f>IF(VIN_nom&gt;Vout,"BUCK",IF(VIN_nom&lt;VIN_edgebuckboost,"BOOST","BUCK-BOOST"))</f>
        <v>BUCK-BOOST</v>
      </c>
      <c r="I128" s="57"/>
    </row>
    <row r="129" spans="1:14" x14ac:dyDescent="0.2">
      <c r="A129" s="223" t="s">
        <v>597</v>
      </c>
      <c r="B129" s="337">
        <f>IF(VIN_max&gt;Vout, Buck_CS_threshold/Rs+Iripple_Vinmax/2, (Boost_CS_Threshold/Rs-Iripple_Vinmax/2)*(1-Don_Vinmax_2))</f>
        <v>23.424710315324248</v>
      </c>
      <c r="C129" t="s">
        <v>2</v>
      </c>
      <c r="D129" t="str">
        <f>IF(VIN_max&gt;Vout, "BUCK", "BOOST")</f>
        <v>BUCK</v>
      </c>
      <c r="I129" s="57"/>
    </row>
    <row r="130" spans="1:14" x14ac:dyDescent="0.2">
      <c r="A130" s="223" t="s">
        <v>811</v>
      </c>
      <c r="B130" s="337">
        <f>(Buck_CS_threshold/Rs-Iripple_edgebuckboost/2)*(1-Don_buckboost)</f>
        <v>15.850069079856313</v>
      </c>
      <c r="C130" t="s">
        <v>2</v>
      </c>
      <c r="D130" s="2" t="s">
        <v>831</v>
      </c>
      <c r="I130" s="57"/>
      <c r="K130" s="118" t="s">
        <v>741</v>
      </c>
      <c r="M130" s="118" t="s">
        <v>742</v>
      </c>
    </row>
    <row r="131" spans="1:14" x14ac:dyDescent="0.2">
      <c r="A131" s="223"/>
      <c r="B131" s="118"/>
      <c r="C131"/>
      <c r="I131" s="57"/>
      <c r="K131" s="118"/>
      <c r="M131" s="118"/>
    </row>
    <row r="132" spans="1:14" x14ac:dyDescent="0.2">
      <c r="A132" s="223" t="s">
        <v>598</v>
      </c>
      <c r="B132" s="573">
        <f>IF(VIN_min&gt;Vout, Buck_CS_threshold/Rs+Iripple_Vinmin/2, Boost_CS_Threshold/Rs)</f>
        <v>30</v>
      </c>
      <c r="C132" t="s">
        <v>2</v>
      </c>
      <c r="D132" t="str">
        <f>IF(VIN_min&gt;Vout, "BUCK", "BOOST")</f>
        <v>BOOST</v>
      </c>
      <c r="E132" s="118" t="s">
        <v>601</v>
      </c>
      <c r="H132">
        <f>SQRT(Don_Vinmin_2)*SQRT(Iin_Vinmin^2+(Iripple_Vinmin^2)/12)</f>
        <v>19.088670408662377</v>
      </c>
      <c r="I132" s="57"/>
      <c r="K132" s="48">
        <f>IF(VIN_min&gt;Vout, SQRT(1-Don_Vinmin_2)*SQRT(Iout_OCP_Vinmin^2+(Iripple_Vinmin^2)/12), SQRT(Don_Vinmin_2)*SQRT(Iin_Vinmin^2+(Iripple_Vinmin^2)/12))</f>
        <v>19.088670408662377</v>
      </c>
      <c r="L132" s="2" t="s">
        <v>2</v>
      </c>
      <c r="M132" s="4">
        <f>K132^2*Rs</f>
        <v>1.4575093518821707</v>
      </c>
      <c r="N132" s="2" t="s">
        <v>120</v>
      </c>
    </row>
    <row r="133" spans="1:14" x14ac:dyDescent="0.2">
      <c r="A133" s="223" t="s">
        <v>599</v>
      </c>
      <c r="B133" s="573">
        <f>IF(VIN_nom&gt;Vout, Buck_CS_threshold/Rs+Iripple_Vinnom/2, IF(VIN_nom&lt;VIN_edgebuckboost, Boost_CS_Threshold/Rs, Buck_CS_threshold/Rs))</f>
        <v>20</v>
      </c>
      <c r="C133" t="s">
        <v>2</v>
      </c>
      <c r="D133" t="str">
        <f>IF(VIN_nom&gt;Vout,"BUCK",IF(VIN_nom&lt;VIN_edgebuckboost,"BOOST","BUCK-BOOST"))</f>
        <v>BUCK-BOOST</v>
      </c>
      <c r="H133">
        <f>SQRT(1-Don_Vinnom_2)*SQRT(Iout_OCP_Vinnom^2+(Iripple_Vinnom^2)/12)</f>
        <v>19.868957802006928</v>
      </c>
      <c r="I133" s="57"/>
      <c r="K133" s="48">
        <f>IF(VIN_nom&gt;Vout, SQRT(1-Don_Vinnom_2)*SQRT(Iout_OCP_Vinnom^2+(Iripple_Vinnom^2)/12), SQRT(Don_Vinnom_2)*SQRT(Iin_Vinnom^2+(Iripple_Vinnom^2)/12))</f>
        <v>0.81528092946816355</v>
      </c>
      <c r="L133" s="2" t="s">
        <v>2</v>
      </c>
      <c r="M133" s="4">
        <f>K133^2*Rs</f>
        <v>2.658731975817891E-3</v>
      </c>
      <c r="N133" s="2" t="s">
        <v>120</v>
      </c>
    </row>
    <row r="134" spans="1:14" x14ac:dyDescent="0.2">
      <c r="A134" s="223" t="s">
        <v>600</v>
      </c>
      <c r="B134" s="573">
        <f>IF(VIN_max&gt;Vout, Buck_CS_threshold/Rs+Iripple_Vinmax/2, Boost_CS_Threshold/Rs)</f>
        <v>23.424710315324248</v>
      </c>
      <c r="C134" t="s">
        <v>2</v>
      </c>
      <c r="D134" t="str">
        <f>IF(VIN_max&gt;Vout, "BUCK", "BOOST")</f>
        <v>BUCK</v>
      </c>
      <c r="H134">
        <f>SQRT(1-Don_Vinmax_2)*SQRT(Iout_OCP_Vinmax^2+(Iripple_Vinmax^2)/12)</f>
        <v>19.165356400618755</v>
      </c>
      <c r="I134" s="57"/>
      <c r="K134" s="48">
        <f>IF(VIN_max&gt;Vout, SQRT(1-Don_Vinmax_2)*SQRT(Iout_OCP_Vinmax^2+(Iripple_Vinmax^2)/12), SQRT(Don_Vinmax_2)*SQRT(Iin_Vinmax^2+(Iripple_Vinmax^2)/12))</f>
        <v>19.165356400618755</v>
      </c>
      <c r="L134" s="525" t="s">
        <v>2</v>
      </c>
      <c r="M134" s="4">
        <f>K134^2*Rs</f>
        <v>1.469243543850953</v>
      </c>
      <c r="N134" s="2" t="s">
        <v>120</v>
      </c>
    </row>
    <row r="135" spans="1:14" x14ac:dyDescent="0.2">
      <c r="A135" s="223" t="s">
        <v>939</v>
      </c>
      <c r="B135" s="574">
        <f>MAX(B132:B134)</f>
        <v>30</v>
      </c>
      <c r="C135" s="118" t="s">
        <v>2</v>
      </c>
      <c r="I135" s="57"/>
      <c r="K135" s="622" t="s">
        <v>959</v>
      </c>
      <c r="L135" s="525"/>
      <c r="M135" s="4"/>
      <c r="N135" s="2"/>
    </row>
    <row r="136" spans="1:14" x14ac:dyDescent="0.2">
      <c r="A136" s="223"/>
      <c r="B136" s="526"/>
      <c r="C136"/>
      <c r="I136" s="57"/>
    </row>
    <row r="137" spans="1:14" x14ac:dyDescent="0.2">
      <c r="A137" s="223" t="s">
        <v>659</v>
      </c>
      <c r="B137" s="574">
        <f>MAX(B132:B134)</f>
        <v>30</v>
      </c>
      <c r="C137" t="s">
        <v>2</v>
      </c>
      <c r="E137" t="s">
        <v>660</v>
      </c>
      <c r="I137" s="57"/>
    </row>
    <row r="138" spans="1:14" x14ac:dyDescent="0.2">
      <c r="A138" s="223"/>
      <c r="B138" s="4"/>
      <c r="C138" s="118"/>
      <c r="I138" s="57"/>
    </row>
    <row r="139" spans="1:14" x14ac:dyDescent="0.2">
      <c r="A139" s="223" t="s">
        <v>436</v>
      </c>
      <c r="B139" s="328">
        <f>Lf/Rs*0.4*10^6</f>
        <v>470.00000000000006</v>
      </c>
      <c r="C139" s="118" t="s">
        <v>32</v>
      </c>
      <c r="E139" s="621" t="s">
        <v>947</v>
      </c>
      <c r="I139" s="57"/>
    </row>
    <row r="140" spans="1:14" x14ac:dyDescent="0.2">
      <c r="A140" s="223" t="s">
        <v>439</v>
      </c>
      <c r="B140" s="331">
        <f>'Standard Value Calculator'!O14</f>
        <v>470.00000000000006</v>
      </c>
      <c r="C140" s="118" t="s">
        <v>32</v>
      </c>
      <c r="E140" s="118" t="s">
        <v>743</v>
      </c>
      <c r="I140" s="57"/>
    </row>
    <row r="141" spans="1:14" x14ac:dyDescent="0.2">
      <c r="A141" s="223" t="s">
        <v>440</v>
      </c>
      <c r="B141" s="334">
        <f>'Design Converter'!E32</f>
        <v>270</v>
      </c>
      <c r="C141" s="118" t="s">
        <v>32</v>
      </c>
      <c r="E141" s="118" t="s">
        <v>815</v>
      </c>
      <c r="I141" s="57"/>
    </row>
    <row r="142" spans="1:14" x14ac:dyDescent="0.2">
      <c r="A142" s="223"/>
      <c r="B142" s="225"/>
      <c r="C142" s="118"/>
      <c r="E142" s="118"/>
      <c r="I142" s="57"/>
    </row>
    <row r="143" spans="1:14" x14ac:dyDescent="0.2">
      <c r="A143" s="223" t="s">
        <v>445</v>
      </c>
      <c r="B143" s="443">
        <v>3.9999999999999998E-6</v>
      </c>
      <c r="C143" s="118" t="s">
        <v>2</v>
      </c>
      <c r="E143" s="118"/>
      <c r="I143" s="57"/>
    </row>
    <row r="144" spans="1:14" x14ac:dyDescent="0.2">
      <c r="A144" s="223"/>
      <c r="B144" s="4"/>
      <c r="C144" s="225"/>
      <c r="D144" s="118"/>
      <c r="G144" s="458">
        <f>Islope_fixed/(Cslope*10^-12)</f>
        <v>14814.814814814814</v>
      </c>
      <c r="I144" s="57"/>
    </row>
    <row r="145" spans="1:14" x14ac:dyDescent="0.2">
      <c r="A145" s="223" t="s">
        <v>446</v>
      </c>
      <c r="B145" s="332">
        <f>(ABS((VIN_min-Vout))*2*10^-6 + Islope_fixed)/(Cslope*10^-12)</f>
        <v>59259.259259259255</v>
      </c>
      <c r="C145" s="118" t="s">
        <v>441</v>
      </c>
      <c r="E145" t="s">
        <v>442</v>
      </c>
      <c r="I145" s="57"/>
    </row>
    <row r="146" spans="1:14" x14ac:dyDescent="0.2">
      <c r="A146" s="223" t="s">
        <v>446</v>
      </c>
      <c r="B146" s="332">
        <f>(ABS((VIN_nom-Vout))*2*10^-6 + Islope_fixed)/(Cslope*10^-12)</f>
        <v>14814.814814814814</v>
      </c>
      <c r="C146" s="118" t="s">
        <v>441</v>
      </c>
      <c r="E146" s="118" t="s">
        <v>443</v>
      </c>
      <c r="I146" s="57"/>
    </row>
    <row r="147" spans="1:14" x14ac:dyDescent="0.2">
      <c r="A147" s="223" t="s">
        <v>446</v>
      </c>
      <c r="B147" s="332">
        <f>(ABS((VIN_max-Vout))*2*10^-6 + Islope_fixed)/(Cslope*10^-12)</f>
        <v>192592.59259259261</v>
      </c>
      <c r="C147" s="118" t="s">
        <v>441</v>
      </c>
      <c r="E147" s="118" t="s">
        <v>444</v>
      </c>
      <c r="I147" s="57"/>
    </row>
    <row r="148" spans="1:14" x14ac:dyDescent="0.2">
      <c r="C148"/>
      <c r="I148" s="57"/>
      <c r="K148" s="2" t="s">
        <v>447</v>
      </c>
      <c r="L148" s="2" t="s">
        <v>448</v>
      </c>
    </row>
    <row r="149" spans="1:14" x14ac:dyDescent="0.2">
      <c r="A149" s="223" t="s">
        <v>460</v>
      </c>
      <c r="B149" s="575">
        <f>IF(D149="BUCK", K149,L149)</f>
        <v>0.12136190001660853</v>
      </c>
      <c r="C149" s="118" t="s">
        <v>0</v>
      </c>
      <c r="D149" t="str">
        <f>IF(VIN_min&gt;Vout, "BUCK", "BOOST")</f>
        <v>BOOST</v>
      </c>
      <c r="E149" t="s">
        <v>442</v>
      </c>
      <c r="I149" s="57"/>
      <c r="K149" s="335">
        <f>B145*(1-Don_Vinmin_2)/Fsw</f>
        <v>0.11567513702042849</v>
      </c>
      <c r="L149" s="335">
        <f>B145*Don_Vinmin_2/Fsw</f>
        <v>0.12136190001660853</v>
      </c>
      <c r="N149" t="str">
        <f>IF(VIN_min&gt;Vout, "BUCK", "BOOST")</f>
        <v>BOOST</v>
      </c>
    </row>
    <row r="150" spans="1:14" x14ac:dyDescent="0.2">
      <c r="A150" s="223" t="s">
        <v>461</v>
      </c>
      <c r="B150" s="575">
        <f>IF(D150="BUCK", K150,L150)</f>
        <v>2.2156084656084653E-4</v>
      </c>
      <c r="C150" s="118" t="s">
        <v>0</v>
      </c>
      <c r="D150" t="str">
        <f>IF(VIN_nom&gt;Vout,"BUCK",IF(VIN_nom&lt;VIN_edgebuckboost,"BOOST","BUCK-BOOST"))</f>
        <v>BUCK-BOOST</v>
      </c>
      <c r="E150" s="118" t="s">
        <v>443</v>
      </c>
      <c r="I150" s="57"/>
      <c r="K150" s="335">
        <f>B146*(1-Don_Vinnom_2)/Fsw</f>
        <v>5.903769841269841E-2</v>
      </c>
      <c r="L150" s="335">
        <f>B146*Don_Vinnom_2/Fsw</f>
        <v>2.2156084656084653E-4</v>
      </c>
      <c r="N150" t="str">
        <f>IF(VIN_nom&gt;Vout, "BUCK", "BOOST")</f>
        <v>BOOST</v>
      </c>
    </row>
    <row r="151" spans="1:14" x14ac:dyDescent="0.2">
      <c r="A151" s="223" t="s">
        <v>462</v>
      </c>
      <c r="B151" s="575">
        <f>IF(D151="BUCK", K151,L151)</f>
        <v>0.51203728362183765</v>
      </c>
      <c r="C151" s="118" t="s">
        <v>0</v>
      </c>
      <c r="D151" t="str">
        <f>IF(VIN_max&gt;Vout, "BUCK", "BOOST")</f>
        <v>BUCK</v>
      </c>
      <c r="E151" s="118" t="s">
        <v>444</v>
      </c>
      <c r="I151" s="57"/>
      <c r="K151" s="335">
        <f>B147*(1-Don_Vinmax_2)/Fsw</f>
        <v>0.51203728362183765</v>
      </c>
      <c r="L151" s="335">
        <f>B147*Don_Vinmax_2/Fsw</f>
        <v>0.25833308674853284</v>
      </c>
      <c r="N151" t="str">
        <f>IF(VIN_max&gt;Vout, "BUCK", "BOOST")</f>
        <v>BUCK</v>
      </c>
    </row>
    <row r="152" spans="1:14" x14ac:dyDescent="0.2">
      <c r="A152" s="223"/>
      <c r="C152" s="225"/>
      <c r="E152" s="118"/>
      <c r="I152" s="57"/>
    </row>
    <row r="153" spans="1:14" x14ac:dyDescent="0.2">
      <c r="A153" s="56"/>
      <c r="D153" s="225"/>
      <c r="E153" s="118"/>
      <c r="I153" s="57"/>
    </row>
    <row r="154" spans="1:14" x14ac:dyDescent="0.2">
      <c r="A154" s="223" t="s">
        <v>451</v>
      </c>
      <c r="B154" s="424">
        <f>'Design Converter'!E36</f>
        <v>12</v>
      </c>
      <c r="C154" s="118" t="s">
        <v>2</v>
      </c>
      <c r="D154" s="225"/>
      <c r="E154" s="118"/>
      <c r="I154" s="57"/>
    </row>
    <row r="155" spans="1:14" x14ac:dyDescent="0.2">
      <c r="A155" s="223" t="s">
        <v>452</v>
      </c>
      <c r="B155" s="336">
        <v>50</v>
      </c>
      <c r="C155" s="118" t="s">
        <v>381</v>
      </c>
      <c r="E155" s="621" t="s">
        <v>950</v>
      </c>
      <c r="I155" s="57"/>
    </row>
    <row r="156" spans="1:14" x14ac:dyDescent="0.2">
      <c r="A156" s="223" t="s">
        <v>453</v>
      </c>
      <c r="B156" s="332">
        <f>IF(Constant_Current_Loop_Setpoint="N/A", 0, Iout_threshold/Constant_Current_Loop_Setpoint)</f>
        <v>4.166666666666667</v>
      </c>
      <c r="C156" s="45" t="s">
        <v>437</v>
      </c>
      <c r="I156" s="57"/>
    </row>
    <row r="157" spans="1:14" ht="13.5" thickBot="1" x14ac:dyDescent="0.25">
      <c r="A157" s="60"/>
      <c r="B157" s="61"/>
      <c r="C157" s="61"/>
      <c r="D157" s="61"/>
      <c r="E157" s="122"/>
      <c r="F157" s="61"/>
      <c r="G157" s="61"/>
      <c r="H157" s="61"/>
      <c r="I157" s="62"/>
    </row>
    <row r="159" spans="1:14" ht="16.5" thickBot="1" x14ac:dyDescent="0.3">
      <c r="A159" s="596" t="s">
        <v>170</v>
      </c>
      <c r="D159" s="2"/>
    </row>
    <row r="160" spans="1:14" x14ac:dyDescent="0.2">
      <c r="A160" s="222" t="s">
        <v>457</v>
      </c>
      <c r="B160" s="339">
        <f>IF(D160="BUCK", Iripple_Vinmin/SQRT(12), Iout*SQRT((Vout-VIN_min)/VIN_min))</f>
        <v>12</v>
      </c>
      <c r="C160" s="338" t="s">
        <v>2</v>
      </c>
      <c r="D160" s="311" t="str">
        <f>IF(VIN_min&gt;Vout, "BUCK", "BOOST")</f>
        <v>BOOST</v>
      </c>
      <c r="E160" s="121" t="s">
        <v>456</v>
      </c>
      <c r="F160" s="63"/>
      <c r="G160" s="63"/>
      <c r="H160" s="63"/>
      <c r="I160" s="64"/>
      <c r="L160" s="4"/>
    </row>
    <row r="161" spans="1:12" x14ac:dyDescent="0.2">
      <c r="A161" s="223" t="s">
        <v>458</v>
      </c>
      <c r="B161" s="337">
        <f>IF(D161="BUCK", Iripple_Vinnom/SQRT(12), Iout*SQRT((Vout-VIN_nom)/VIN_nom))</f>
        <v>0</v>
      </c>
      <c r="C161" s="118" t="s">
        <v>2</v>
      </c>
      <c r="D161" t="str">
        <f>IF(VIN_nom&gt;Vout,"BUCK",IF(VIN_nom&lt;VIN_edgebuckboost,"BOOST","BUCK-BOOST"))</f>
        <v>BUCK-BOOST</v>
      </c>
      <c r="E161" s="118"/>
      <c r="I161" s="57"/>
      <c r="L161" s="4"/>
    </row>
    <row r="162" spans="1:12" x14ac:dyDescent="0.2">
      <c r="A162" s="223" t="s">
        <v>459</v>
      </c>
      <c r="B162" s="337">
        <f>IF(D162="BUCK", Iripple_Vinmax/SQRT(12), Iout*SQRT((Vout-VIN_max)/VIN_max))</f>
        <v>1.977257422448943</v>
      </c>
      <c r="C162" s="118" t="s">
        <v>2</v>
      </c>
      <c r="D162" t="str">
        <f>IF(VIN_max&gt;Vout, "BUCK", "BOOST")</f>
        <v>BUCK</v>
      </c>
      <c r="E162" s="118"/>
      <c r="I162" s="57"/>
      <c r="L162" s="4"/>
    </row>
    <row r="163" spans="1:12" x14ac:dyDescent="0.2">
      <c r="A163" s="223" t="s">
        <v>838</v>
      </c>
      <c r="B163" s="337">
        <f>MAX(B160:B162)</f>
        <v>12</v>
      </c>
      <c r="C163" s="118" t="s">
        <v>2</v>
      </c>
      <c r="E163" s="118"/>
      <c r="I163" s="57"/>
      <c r="L163" s="4"/>
    </row>
    <row r="164" spans="1:12" x14ac:dyDescent="0.2">
      <c r="A164" s="223"/>
      <c r="B164" s="48"/>
      <c r="C164" s="118"/>
      <c r="E164" s="118"/>
      <c r="I164" s="57"/>
      <c r="L164" s="4"/>
    </row>
    <row r="165" spans="1:12" x14ac:dyDescent="0.2">
      <c r="A165" s="223" t="s">
        <v>574</v>
      </c>
      <c r="B165" s="447">
        <f>Vripple1*1000</f>
        <v>100</v>
      </c>
      <c r="C165" s="118" t="s">
        <v>381</v>
      </c>
      <c r="E165" s="118" t="s">
        <v>604</v>
      </c>
      <c r="I165" s="57"/>
      <c r="L165" s="4"/>
    </row>
    <row r="166" spans="1:12" x14ac:dyDescent="0.2">
      <c r="A166" s="56"/>
      <c r="B166" s="118"/>
      <c r="E166" s="118"/>
      <c r="I166" s="57"/>
    </row>
    <row r="167" spans="1:12" x14ac:dyDescent="0.2">
      <c r="A167" s="66" t="s">
        <v>24</v>
      </c>
      <c r="B167" s="459">
        <f>IF(VIN_min&gt;Vout, Iripple_Vinmin/(Fsw*8*Vripple1), Iout*Don_Vinmin_2/(Vripple1*Fsw))</f>
        <v>2.4575784753363229E-4</v>
      </c>
      <c r="C167" t="s">
        <v>26</v>
      </c>
      <c r="E167" t="s">
        <v>23</v>
      </c>
      <c r="H167">
        <f>Vripple2</f>
        <v>6.4959641255605383E-2</v>
      </c>
      <c r="I167" s="57">
        <v>1</v>
      </c>
      <c r="K167" s="1">
        <f>Coutmin</f>
        <v>2.4575784753363229E-4</v>
      </c>
    </row>
    <row r="168" spans="1:12" x14ac:dyDescent="0.2">
      <c r="A168" s="223" t="s">
        <v>845</v>
      </c>
      <c r="B168" s="521">
        <f>IF(Coutmin*1000000&lt;22, 22,Coutmin*1000000)</f>
        <v>245.75784753363229</v>
      </c>
      <c r="C168" s="42" t="s">
        <v>25</v>
      </c>
      <c r="I168" s="57"/>
      <c r="K168" s="1">
        <f>Coutmin*1000000</f>
        <v>245.75784753363229</v>
      </c>
    </row>
    <row r="169" spans="1:12" x14ac:dyDescent="0.2">
      <c r="A169" s="223" t="s">
        <v>27</v>
      </c>
      <c r="B169" s="460">
        <f>'Design Converter'!E42/1000000</f>
        <v>5.9999999999999995E-4</v>
      </c>
      <c r="C169" t="s">
        <v>26</v>
      </c>
      <c r="E169" s="118" t="s">
        <v>463</v>
      </c>
      <c r="I169" s="57">
        <v>1</v>
      </c>
    </row>
    <row r="170" spans="1:12" x14ac:dyDescent="0.2">
      <c r="A170" s="66" t="s">
        <v>52</v>
      </c>
      <c r="B170" s="522">
        <f>IF(VIN_min&gt;Vout, SQRT((Vripple1/Iripple_Vinmin)^2-(1/(Fsw*Cout*8))^2), (Vripple1-Iout*Don_Vinmin_2/(Fsw*Cout))/Iout)</f>
        <v>4.9200298953662189E-3</v>
      </c>
      <c r="C170" s="225" t="s">
        <v>120</v>
      </c>
      <c r="E170" s="118" t="s">
        <v>301</v>
      </c>
      <c r="I170" s="57">
        <v>1</v>
      </c>
    </row>
    <row r="171" spans="1:12" x14ac:dyDescent="0.2">
      <c r="A171" s="2"/>
      <c r="B171" s="578"/>
      <c r="C171" s="225"/>
      <c r="E171" s="118"/>
      <c r="I171" s="57"/>
    </row>
    <row r="172" spans="1:12" x14ac:dyDescent="0.2">
      <c r="A172" s="519" t="s">
        <v>725</v>
      </c>
      <c r="B172" s="520">
        <f>IF(OR(CoutEsrMax&gt;0.3, CoutEsrMax&lt;0, (ISERROR(CoutEsrMax))), "N/A", CoutEsrMax*1000)</f>
        <v>4.9200298953662189</v>
      </c>
      <c r="C172" s="45" t="s">
        <v>437</v>
      </c>
      <c r="E172" s="118"/>
      <c r="I172" s="57"/>
    </row>
    <row r="173" spans="1:12" x14ac:dyDescent="0.2">
      <c r="A173" s="223" t="s">
        <v>168</v>
      </c>
      <c r="B173" s="448">
        <f>'Design Converter'!E44/1000</f>
        <v>2E-3</v>
      </c>
      <c r="C173" s="225" t="s">
        <v>120</v>
      </c>
      <c r="E173" s="118" t="s">
        <v>302</v>
      </c>
      <c r="I173" s="57">
        <v>1</v>
      </c>
      <c r="K173" t="b">
        <f>ISERROR(CoutEsrMax)</f>
        <v>0</v>
      </c>
      <c r="L173" t="b">
        <f>ISERROR(B172)</f>
        <v>0</v>
      </c>
    </row>
    <row r="174" spans="1:12" ht="13.5" thickBot="1" x14ac:dyDescent="0.25">
      <c r="A174" s="411" t="s">
        <v>230</v>
      </c>
      <c r="B174" s="449">
        <f>IF(VIN_min&gt;Vout, Iripple_Vinmax*SQRT(CoutEsr^2+(1/(8*Fsw*Cout))^2), CoutEsr*Iout+Iout*Don_Vinmin_2/(Fsw*Cout))</f>
        <v>6.4959641255605383E-2</v>
      </c>
      <c r="C174" s="109" t="s">
        <v>42</v>
      </c>
      <c r="D174" s="61"/>
      <c r="E174" s="61"/>
      <c r="F174" s="61"/>
      <c r="G174" s="61"/>
      <c r="H174" s="61"/>
      <c r="I174" s="62"/>
      <c r="L174" t="b">
        <f>OR(CoutEsrMax&gt;0.3,CoutEsrMax&lt;0)</f>
        <v>0</v>
      </c>
    </row>
    <row r="175" spans="1:12" x14ac:dyDescent="0.2">
      <c r="K175" t="b">
        <f>OR(TRUE, FALSE, TRUE)</f>
        <v>1</v>
      </c>
    </row>
    <row r="176" spans="1:12" ht="16.5" thickBot="1" x14ac:dyDescent="0.3">
      <c r="A176" s="596" t="s">
        <v>171</v>
      </c>
    </row>
    <row r="177" spans="1:11" ht="15.75" x14ac:dyDescent="0.25">
      <c r="A177" s="99"/>
      <c r="B177" s="100"/>
      <c r="C177" s="342"/>
      <c r="D177" s="100"/>
      <c r="E177" s="100"/>
      <c r="F177" s="100"/>
      <c r="G177" s="100"/>
      <c r="H177" s="100"/>
      <c r="I177" s="101"/>
    </row>
    <row r="178" spans="1:11" x14ac:dyDescent="0.2">
      <c r="A178" s="223" t="s">
        <v>835</v>
      </c>
      <c r="B178" s="116">
        <f>IF(D178="BUCK", Iout*SQRT(Don_Vinmin_2*(1-Don_Vinmax_2)), Iripple_Vinmin/SQRT(12))</f>
        <v>0.75472531611173199</v>
      </c>
      <c r="C178" s="97" t="s">
        <v>2</v>
      </c>
      <c r="D178" t="str">
        <f>IF(VIN_min&gt;Vout, "BUCK", "BOOST")</f>
        <v>BOOST</v>
      </c>
      <c r="F178" s="430">
        <f>Iripple_Vinmin/SQRT(12)</f>
        <v>0.75472531611173199</v>
      </c>
      <c r="G178" s="386">
        <f>Iout*SQRT(Don_Vinmax_2*(1-Don_Vinmax_2))</f>
        <v>5.6652944159188321</v>
      </c>
      <c r="H178" s="120">
        <f>Iout*0.25</f>
        <v>3</v>
      </c>
      <c r="I178" s="103"/>
    </row>
    <row r="179" spans="1:11" x14ac:dyDescent="0.2">
      <c r="A179" s="223" t="s">
        <v>836</v>
      </c>
      <c r="B179" s="116">
        <f>IF(D179="BUCK", Iout*SQRT(Don_Vinnom_2*(1-Don_Vinnom_2)), Iripple_Vinnom/SQRT(12))</f>
        <v>1.1022739751815612E-2</v>
      </c>
      <c r="C179" s="97" t="s">
        <v>2</v>
      </c>
      <c r="D179" t="str">
        <f>IF(VIN_nom&gt;Vout,"BUCK",IF(VIN_nom&lt;VIN_edgebuckboost,"BOOST","BUCK-BOOST"))</f>
        <v>BUCK-BOOST</v>
      </c>
      <c r="F179" s="430"/>
      <c r="G179" s="386"/>
      <c r="I179" s="103"/>
    </row>
    <row r="180" spans="1:11" x14ac:dyDescent="0.2">
      <c r="A180" s="223" t="s">
        <v>837</v>
      </c>
      <c r="B180" s="116">
        <f>IF(D180="BUCK", Iout*SQRT(Don_Vinmax_2*(1-Don_Vinmax_2)), Iripple_Vinmax/SQRT(12))</f>
        <v>5.6652944159188321</v>
      </c>
      <c r="C180" s="97" t="s">
        <v>2</v>
      </c>
      <c r="D180" t="str">
        <f>IF(VIN_max&gt;Vout, "BUCK", "BOOST")</f>
        <v>BUCK</v>
      </c>
      <c r="F180" s="430"/>
      <c r="G180" s="386"/>
      <c r="I180" s="103"/>
    </row>
    <row r="181" spans="1:11" x14ac:dyDescent="0.2">
      <c r="A181" s="223" t="s">
        <v>843</v>
      </c>
      <c r="B181" s="116">
        <f>MAX(B178:B180)</f>
        <v>5.6652944159188321</v>
      </c>
      <c r="C181" s="42" t="s">
        <v>2</v>
      </c>
      <c r="D181" s="118" t="s">
        <v>885</v>
      </c>
      <c r="F181" s="430"/>
      <c r="G181" s="386"/>
      <c r="I181" s="103"/>
    </row>
    <row r="182" spans="1:11" x14ac:dyDescent="0.2">
      <c r="A182" s="118"/>
      <c r="B182" s="579"/>
      <c r="C182" s="97"/>
      <c r="F182" s="430"/>
      <c r="G182" s="386"/>
      <c r="I182" s="103"/>
    </row>
    <row r="183" spans="1:11" x14ac:dyDescent="0.2">
      <c r="A183" s="102" t="s">
        <v>273</v>
      </c>
      <c r="B183" s="343">
        <f>'Design Converter'!E49/1000</f>
        <v>0.2</v>
      </c>
      <c r="C183" t="s">
        <v>42</v>
      </c>
      <c r="D183" s="118" t="s">
        <v>844</v>
      </c>
      <c r="I183" s="103"/>
    </row>
    <row r="184" spans="1:11" x14ac:dyDescent="0.2">
      <c r="A184" s="118"/>
      <c r="B184" s="579"/>
      <c r="C184" s="97"/>
      <c r="F184" s="430"/>
      <c r="G184" s="386"/>
      <c r="I184" s="103"/>
    </row>
    <row r="185" spans="1:11" x14ac:dyDescent="0.2">
      <c r="A185" s="519" t="s">
        <v>871</v>
      </c>
      <c r="B185" s="593">
        <f>IF(VIN_max&gt;Vout, Iout*Don_Vinmax_2*(1-Don_Vinmax_2)/(Vinripple1*Fsw), Iripple_Vinmax/(Fsw*8*Vinripple1))</f>
        <v>5.3492601365068503E-5</v>
      </c>
      <c r="C185" s="97" t="s">
        <v>26</v>
      </c>
      <c r="D185" s="118" t="s">
        <v>879</v>
      </c>
      <c r="I185" s="103"/>
      <c r="K185" s="8">
        <f>Iripple_Vinnom/(Fsw*8*Vinripple1)</f>
        <v>9.5459726443768973E-8</v>
      </c>
    </row>
    <row r="186" spans="1:11" x14ac:dyDescent="0.2">
      <c r="A186" s="519" t="s">
        <v>875</v>
      </c>
      <c r="B186" s="594">
        <f>IF(VIN_max&gt;Vout, Iout*0.5*(1-0.5)/(Vinripple1*Fsw), Iripple_Vinmax/(Fsw*8*Vinripple1))</f>
        <v>6.0000000000000002E-5</v>
      </c>
      <c r="C186" s="97"/>
      <c r="D186" s="118" t="s">
        <v>872</v>
      </c>
      <c r="G186" s="30"/>
      <c r="I186" s="103"/>
      <c r="K186" s="8"/>
    </row>
    <row r="187" spans="1:11" x14ac:dyDescent="0.2">
      <c r="A187" s="519" t="s">
        <v>272</v>
      </c>
      <c r="B187" s="30">
        <f>IF(VIN_max&lt;2*Vout, B185,B186)</f>
        <v>6.0000000000000002E-5</v>
      </c>
      <c r="C187" s="97"/>
      <c r="G187" s="30"/>
      <c r="I187" s="103"/>
      <c r="K187" s="8"/>
    </row>
    <row r="188" spans="1:11" x14ac:dyDescent="0.2">
      <c r="A188" s="519" t="s">
        <v>724</v>
      </c>
      <c r="B188" s="521">
        <f>IF(Cinmin*1000000&lt;10, 10,Cinmin*1000000)</f>
        <v>60</v>
      </c>
      <c r="C188" s="42" t="s">
        <v>25</v>
      </c>
      <c r="D188" s="118" t="s">
        <v>885</v>
      </c>
      <c r="I188" s="103"/>
    </row>
    <row r="189" spans="1:11" x14ac:dyDescent="0.2">
      <c r="A189" s="104" t="s">
        <v>61</v>
      </c>
      <c r="B189" s="461">
        <f>'Design Converter'!E51/1000000</f>
        <v>1E-4</v>
      </c>
      <c r="C189" s="97" t="s">
        <v>26</v>
      </c>
      <c r="D189" t="s">
        <v>178</v>
      </c>
      <c r="I189" s="103"/>
    </row>
    <row r="190" spans="1:11" x14ac:dyDescent="0.2">
      <c r="A190" s="519" t="s">
        <v>873</v>
      </c>
      <c r="B190" s="329">
        <f>IF(VIN_max&gt;Vout, -(Iout*Don_Vinmax_2*(1-Don_Vinmax_2)/(Cin*Fsw)-Vinripple1)/(Iout+Iripple_Vinmax/2), SQRT((Vinripple1/Iripple_Vinmax)^2-(1/(Fsw*Cin*8))^2))</f>
        <v>6.0302459734011358E-3</v>
      </c>
      <c r="C190" s="225" t="s">
        <v>120</v>
      </c>
      <c r="I190" s="103"/>
    </row>
    <row r="191" spans="1:11" x14ac:dyDescent="0.2">
      <c r="A191" s="519" t="s">
        <v>874</v>
      </c>
      <c r="B191" s="329">
        <f>IF(VIN_max&gt;Vout, -(Iout*0.5*(1-0.5)/(Cin*Fsw)-Vinripple1)/(Iout+Iripple_Vinmax/2), SQRT((Vinripple1/Iripple_Vinmax)^2-(1/(Fsw*Cin*8))^2))</f>
        <v>5.186483140660416E-3</v>
      </c>
      <c r="C191" s="225" t="s">
        <v>120</v>
      </c>
      <c r="D191" s="118" t="s">
        <v>880</v>
      </c>
      <c r="I191" s="103"/>
    </row>
    <row r="192" spans="1:11" x14ac:dyDescent="0.2">
      <c r="A192" s="519" t="s">
        <v>274</v>
      </c>
      <c r="B192" s="329">
        <f>IF(VIN_max&lt;2*Vout, B190,B191)</f>
        <v>5.186483140660416E-3</v>
      </c>
      <c r="C192" s="225" t="s">
        <v>120</v>
      </c>
      <c r="I192" s="103"/>
    </row>
    <row r="193" spans="1:11" x14ac:dyDescent="0.2">
      <c r="A193" s="519" t="s">
        <v>726</v>
      </c>
      <c r="B193" s="577">
        <f>IF(OR(CinEsrMax&gt;0.3, CinEsrMax&lt;0), "N/A",CinEsrMax*1000)</f>
        <v>5.1864831406604157</v>
      </c>
      <c r="C193" s="45" t="s">
        <v>437</v>
      </c>
      <c r="D193" t="s">
        <v>885</v>
      </c>
      <c r="I193" s="103"/>
    </row>
    <row r="194" spans="1:11" x14ac:dyDescent="0.2">
      <c r="A194" s="104" t="s">
        <v>90</v>
      </c>
      <c r="B194" s="98">
        <f>'Design Converter'!E53/1000</f>
        <v>2E-3</v>
      </c>
      <c r="C194" s="225" t="s">
        <v>120</v>
      </c>
      <c r="D194" s="118" t="s">
        <v>303</v>
      </c>
      <c r="I194" s="103"/>
    </row>
    <row r="195" spans="1:11" x14ac:dyDescent="0.2">
      <c r="D195" s="118"/>
      <c r="I195" s="103"/>
      <c r="K195" s="335">
        <f>CinEsrMax</f>
        <v>5.186483140660416E-3</v>
      </c>
    </row>
    <row r="196" spans="1:11" x14ac:dyDescent="0.2">
      <c r="A196" s="519" t="s">
        <v>876</v>
      </c>
      <c r="B196" s="425">
        <f>IF(VIN_max&gt;Vout, Iout*Don_Vinmax_2*(1-Don_Vinmax_2)/(Cin*Fsw)+(Iout +Iripple_Vinmax/2)*RCinEsr, Iripple_Vinmax*SQRT(RCinEsr^2+(1/(8*Fsw*Cin))^2))</f>
        <v>0.1378346233607855</v>
      </c>
      <c r="C196" s="97" t="s">
        <v>42</v>
      </c>
      <c r="I196" s="103"/>
    </row>
    <row r="197" spans="1:11" x14ac:dyDescent="0.2">
      <c r="A197" s="519" t="s">
        <v>877</v>
      </c>
      <c r="B197" s="425">
        <f>IF(VIN_max&gt;Vout, Iout*0.5*(1-0.5)/(Cin*Fsw)+(Iout +Iripple_Vinmax/2)*RCinEsr, Iripple_Vinmax*SQRT(RCinEsr^2+(1/(8*Fsw*Cin))^2))</f>
        <v>0.15084942063064849</v>
      </c>
      <c r="C197" s="97" t="s">
        <v>42</v>
      </c>
      <c r="D197" s="118" t="s">
        <v>878</v>
      </c>
      <c r="I197" s="103"/>
    </row>
    <row r="198" spans="1:11" x14ac:dyDescent="0.2">
      <c r="A198" s="519" t="s">
        <v>275</v>
      </c>
      <c r="B198" s="425">
        <f>IF(VIN_max&lt;2*Vout, B196,B197)</f>
        <v>0.15084942063064849</v>
      </c>
      <c r="C198" s="97" t="s">
        <v>42</v>
      </c>
      <c r="D198" s="118" t="s">
        <v>884</v>
      </c>
      <c r="I198" s="103"/>
    </row>
    <row r="199" spans="1:11" x14ac:dyDescent="0.2">
      <c r="A199" s="104"/>
      <c r="B199" s="595"/>
      <c r="C199" s="97"/>
      <c r="I199" s="103"/>
    </row>
    <row r="200" spans="1:11" ht="13.5" thickBot="1" x14ac:dyDescent="0.25">
      <c r="A200" s="105"/>
      <c r="B200" s="426">
        <f>Iout*Don_Vinmax_2*(1-Don_Vinmax_2)/(Cin*Fsw)</f>
        <v>0.10698520273013701</v>
      </c>
      <c r="C200" s="344" t="s">
        <v>42</v>
      </c>
      <c r="D200" s="106"/>
      <c r="E200" s="107"/>
      <c r="F200" s="107"/>
      <c r="G200" s="107"/>
      <c r="H200" s="107"/>
      <c r="I200" s="108"/>
    </row>
    <row r="202" spans="1:11" ht="16.5" thickBot="1" x14ac:dyDescent="0.3">
      <c r="A202" s="580" t="s">
        <v>883</v>
      </c>
    </row>
    <row r="203" spans="1:11" x14ac:dyDescent="0.2">
      <c r="A203" s="93" t="s">
        <v>181</v>
      </c>
      <c r="B203" s="12">
        <f>'Design Converter'!E58/1000</f>
        <v>1.4999999999999999E-2</v>
      </c>
      <c r="C203" s="63" t="s">
        <v>163</v>
      </c>
      <c r="D203" s="121" t="s">
        <v>607</v>
      </c>
      <c r="E203" s="63"/>
      <c r="F203" s="63"/>
      <c r="G203" s="63"/>
      <c r="H203" s="63"/>
      <c r="I203" s="64"/>
    </row>
    <row r="204" spans="1:11" x14ac:dyDescent="0.2">
      <c r="A204" s="56" t="s">
        <v>182</v>
      </c>
      <c r="B204" s="68">
        <f>Cout*Vout/Tss</f>
        <v>0.48</v>
      </c>
      <c r="C204" t="s">
        <v>2</v>
      </c>
      <c r="D204" s="118" t="s">
        <v>606</v>
      </c>
      <c r="I204" s="57"/>
    </row>
    <row r="205" spans="1:11" x14ac:dyDescent="0.2">
      <c r="A205" s="56" t="s">
        <v>183</v>
      </c>
      <c r="B205" s="462">
        <f>0.000005*Tss/0.8</f>
        <v>9.3750000000000002E-8</v>
      </c>
      <c r="C205" t="s">
        <v>26</v>
      </c>
      <c r="I205" s="57"/>
    </row>
    <row r="206" spans="1:11" ht="13.5" thickBot="1" x14ac:dyDescent="0.25">
      <c r="A206" s="60" t="s">
        <v>197</v>
      </c>
      <c r="B206" s="463">
        <f>'Standard Value Calculator'!B4</f>
        <v>9.9999999999999995E-8</v>
      </c>
      <c r="C206" s="61" t="s">
        <v>26</v>
      </c>
      <c r="D206" s="61"/>
      <c r="E206" s="61"/>
      <c r="F206" s="61"/>
      <c r="G206" s="61"/>
      <c r="H206" s="61"/>
      <c r="I206" s="62"/>
    </row>
    <row r="208" spans="1:11" ht="16.5" thickBot="1" x14ac:dyDescent="0.3">
      <c r="A208" s="580" t="s">
        <v>882</v>
      </c>
    </row>
    <row r="209" spans="1:9" ht="12.75" customHeight="1" x14ac:dyDescent="0.2">
      <c r="A209" s="222"/>
      <c r="B209" s="95"/>
      <c r="C209" s="314"/>
      <c r="D209" s="121"/>
      <c r="E209" s="63"/>
      <c r="F209" s="63"/>
      <c r="G209" s="63"/>
      <c r="H209" s="63"/>
      <c r="I209" s="64"/>
    </row>
    <row r="210" spans="1:9" ht="12.75" customHeight="1" x14ac:dyDescent="0.3">
      <c r="A210" s="223" t="s">
        <v>305</v>
      </c>
      <c r="B210" s="424">
        <f>'Design Converter'!E62</f>
        <v>6</v>
      </c>
      <c r="C210" s="118" t="s">
        <v>0</v>
      </c>
      <c r="I210" s="57"/>
    </row>
    <row r="211" spans="1:9" ht="12.75" customHeight="1" x14ac:dyDescent="0.2">
      <c r="A211" s="223"/>
      <c r="B211" s="44"/>
      <c r="C211" s="118"/>
      <c r="I211" s="57"/>
    </row>
    <row r="212" spans="1:9" ht="12.75" customHeight="1" x14ac:dyDescent="0.3">
      <c r="A212" s="223" t="s">
        <v>330</v>
      </c>
      <c r="B212" s="343">
        <f>'Design Converter'!E64</f>
        <v>249</v>
      </c>
      <c r="C212" s="45" t="s">
        <v>309</v>
      </c>
      <c r="E212">
        <f>'Standard Value Calculator'!O16</f>
        <v>249</v>
      </c>
      <c r="F212" s="45" t="s">
        <v>309</v>
      </c>
      <c r="G212" s="44">
        <f>IF(Ruvlo1&lt;0,"N/A",E212)</f>
        <v>249</v>
      </c>
      <c r="H212" s="44" t="str">
        <f>IF(Ruvlo1&lt;0,"N/A",E212&amp;"kΩ")</f>
        <v>249kΩ</v>
      </c>
      <c r="I212" s="57"/>
    </row>
    <row r="213" spans="1:9" ht="12.75" customHeight="1" x14ac:dyDescent="0.3">
      <c r="A213" s="223" t="s">
        <v>331</v>
      </c>
      <c r="B213" s="428">
        <f>Vuvlo_on/((VINuvlo_on-Vuvlo_on)/Ruvlo1+Iuvlo1)</f>
        <v>57.828710666082877</v>
      </c>
      <c r="C213" s="45" t="s">
        <v>309</v>
      </c>
      <c r="E213">
        <f>'Standard Value Calculator'!O17</f>
        <v>57.6</v>
      </c>
      <c r="F213" s="45" t="s">
        <v>309</v>
      </c>
      <c r="G213" s="44">
        <f>IF(G212="N/A","N/A",E213)</f>
        <v>57.6</v>
      </c>
      <c r="H213" s="44" t="str">
        <f>IF(H212="N/A","N/A",E213&amp;"kΩ")</f>
        <v>57.6kΩ</v>
      </c>
      <c r="I213" s="57"/>
    </row>
    <row r="214" spans="1:9" ht="12.75" customHeight="1" x14ac:dyDescent="0.2">
      <c r="A214" s="223"/>
      <c r="B214" s="224"/>
      <c r="C214" s="45"/>
      <c r="F214" s="45"/>
      <c r="I214" s="57"/>
    </row>
    <row r="215" spans="1:9" ht="12.75" customHeight="1" x14ac:dyDescent="0.3">
      <c r="A215" s="223" t="s">
        <v>310</v>
      </c>
      <c r="B215" s="224">
        <f>(E212+E213)/E213*Vuvlo_on-Iuvlo1*E212</f>
        <v>6.0208583333333339</v>
      </c>
      <c r="C215" s="45"/>
      <c r="F215" s="45"/>
      <c r="I215" s="57"/>
    </row>
    <row r="216" spans="1:9" ht="12.75" customHeight="1" x14ac:dyDescent="0.3">
      <c r="A216" s="223" t="s">
        <v>311</v>
      </c>
      <c r="B216" s="224">
        <f>(E212+E213)/E213*Vuvlo_off-Iuvlo2*E212</f>
        <v>5.2614083333333337</v>
      </c>
      <c r="C216" s="45"/>
      <c r="F216" s="45"/>
      <c r="I216" s="57"/>
    </row>
    <row r="217" spans="1:9" ht="12.75" customHeight="1" x14ac:dyDescent="0.2">
      <c r="A217" s="223"/>
      <c r="B217" s="44"/>
      <c r="C217"/>
      <c r="I217" s="57"/>
    </row>
    <row r="218" spans="1:9" ht="12.75" customHeight="1" x14ac:dyDescent="0.2">
      <c r="A218" s="223" t="s">
        <v>306</v>
      </c>
      <c r="B218" s="427">
        <v>1.22</v>
      </c>
      <c r="C218" s="118" t="s">
        <v>0</v>
      </c>
      <c r="I218" s="57"/>
    </row>
    <row r="219" spans="1:9" ht="12.75" customHeight="1" x14ac:dyDescent="0.2">
      <c r="A219" s="223" t="s">
        <v>307</v>
      </c>
      <c r="B219" s="427">
        <v>1.22</v>
      </c>
      <c r="C219" s="118" t="s">
        <v>0</v>
      </c>
      <c r="I219" s="57"/>
    </row>
    <row r="220" spans="1:9" ht="12.75" customHeight="1" x14ac:dyDescent="0.2">
      <c r="A220" s="223" t="s">
        <v>378</v>
      </c>
      <c r="B220" s="44">
        <f>B218-B219</f>
        <v>0</v>
      </c>
      <c r="C220" s="118" t="s">
        <v>0</v>
      </c>
      <c r="I220" s="57"/>
    </row>
    <row r="221" spans="1:9" ht="12.75" customHeight="1" x14ac:dyDescent="0.2">
      <c r="A221" s="223" t="s">
        <v>380</v>
      </c>
      <c r="B221" s="44">
        <v>1.9E-3</v>
      </c>
      <c r="C221" s="118" t="s">
        <v>68</v>
      </c>
      <c r="E221" s="621" t="s">
        <v>966</v>
      </c>
      <c r="F221" s="620"/>
      <c r="G221" s="620"/>
      <c r="I221" s="57"/>
    </row>
    <row r="222" spans="1:9" ht="12.75" customHeight="1" x14ac:dyDescent="0.2">
      <c r="A222" s="223" t="s">
        <v>379</v>
      </c>
      <c r="B222" s="44">
        <v>4.9500000000000004E-3</v>
      </c>
      <c r="C222" s="118" t="s">
        <v>68</v>
      </c>
      <c r="E222" s="621" t="s">
        <v>968</v>
      </c>
      <c r="G222" s="621" t="s">
        <v>967</v>
      </c>
      <c r="I222" s="57"/>
    </row>
    <row r="223" spans="1:9" ht="12.75" customHeight="1" x14ac:dyDescent="0.2">
      <c r="A223" s="223" t="s">
        <v>308</v>
      </c>
      <c r="B223" s="44">
        <f>B222-B221</f>
        <v>3.0500000000000006E-3</v>
      </c>
      <c r="C223" s="118" t="s">
        <v>68</v>
      </c>
      <c r="E223" s="621" t="s">
        <v>969</v>
      </c>
      <c r="H223" s="118"/>
      <c r="I223" s="57"/>
    </row>
    <row r="224" spans="1:9" ht="12.75" customHeight="1" x14ac:dyDescent="0.2">
      <c r="B224" s="44"/>
      <c r="C224"/>
      <c r="I224" s="57"/>
    </row>
    <row r="225" spans="1:9" ht="12.75" customHeight="1" x14ac:dyDescent="0.3">
      <c r="A225" s="56" t="s">
        <v>207</v>
      </c>
      <c r="B225" s="44">
        <v>20</v>
      </c>
      <c r="C225" s="45" t="s">
        <v>309</v>
      </c>
      <c r="I225" s="57"/>
    </row>
    <row r="226" spans="1:9" ht="12.75" customHeight="1" x14ac:dyDescent="0.3">
      <c r="A226" s="56" t="s">
        <v>208</v>
      </c>
      <c r="B226" s="44"/>
      <c r="C226" s="225" t="s">
        <v>120</v>
      </c>
      <c r="I226" s="57"/>
    </row>
    <row r="227" spans="1:9" ht="12.75" customHeight="1" x14ac:dyDescent="0.2">
      <c r="A227" s="56" t="s">
        <v>192</v>
      </c>
      <c r="B227" s="44">
        <v>0</v>
      </c>
      <c r="C227" s="225" t="s">
        <v>120</v>
      </c>
      <c r="I227" s="57"/>
    </row>
    <row r="228" spans="1:9" ht="12.75" customHeight="1" x14ac:dyDescent="0.2">
      <c r="A228" s="429" t="s">
        <v>575</v>
      </c>
      <c r="B228" s="44"/>
      <c r="C228" s="225" t="s">
        <v>120</v>
      </c>
      <c r="D228" s="406" t="s">
        <v>455</v>
      </c>
      <c r="E228" s="118" t="s">
        <v>796</v>
      </c>
      <c r="I228" s="57"/>
    </row>
    <row r="229" spans="1:9" ht="12.75" customHeight="1" x14ac:dyDescent="0.2">
      <c r="A229" s="223"/>
      <c r="B229" s="44"/>
      <c r="C229" s="225"/>
      <c r="I229" s="57"/>
    </row>
    <row r="230" spans="1:9" ht="12.75" customHeight="1" x14ac:dyDescent="0.2">
      <c r="A230" s="223" t="s">
        <v>797</v>
      </c>
      <c r="B230" s="424">
        <f>'Design Converter'!E60*1000</f>
        <v>1000</v>
      </c>
      <c r="C230" s="118" t="s">
        <v>10</v>
      </c>
      <c r="I230" s="57"/>
    </row>
    <row r="231" spans="1:9" ht="12.75" customHeight="1" x14ac:dyDescent="0.2">
      <c r="A231" s="223" t="s">
        <v>465</v>
      </c>
      <c r="B231" s="423">
        <f>10*10^-6/Fdither/0.24</f>
        <v>4.1666666666666663E-8</v>
      </c>
      <c r="C231" s="118" t="s">
        <v>26</v>
      </c>
      <c r="I231" s="57"/>
    </row>
    <row r="232" spans="1:9" ht="12.75" customHeight="1" x14ac:dyDescent="0.2">
      <c r="A232" s="223" t="s">
        <v>466</v>
      </c>
      <c r="B232" s="423">
        <f>'Standard Value Calculator'!O19</f>
        <v>3.8999999999999998E-8</v>
      </c>
      <c r="C232" s="118" t="s">
        <v>26</v>
      </c>
      <c r="I232" s="57"/>
    </row>
    <row r="233" spans="1:9" ht="12.75" customHeight="1" thickBot="1" x14ac:dyDescent="0.25">
      <c r="A233" s="60"/>
      <c r="B233" s="70"/>
      <c r="C233" s="315"/>
      <c r="D233" s="61"/>
      <c r="E233" s="61"/>
      <c r="F233" s="61"/>
      <c r="G233" s="61"/>
      <c r="H233" s="61"/>
      <c r="I233" s="62"/>
    </row>
    <row r="234" spans="1:9" x14ac:dyDescent="0.2">
      <c r="B234" s="44"/>
      <c r="C234" s="316"/>
    </row>
    <row r="235" spans="1:9" ht="16.5" thickBot="1" x14ac:dyDescent="0.3">
      <c r="A235" s="580" t="s">
        <v>881</v>
      </c>
    </row>
    <row r="236" spans="1:9" x14ac:dyDescent="0.2">
      <c r="A236" s="401" t="s">
        <v>41</v>
      </c>
      <c r="B236" s="402">
        <v>3.1415926500000002</v>
      </c>
      <c r="C236" s="403"/>
      <c r="D236" s="404" t="s">
        <v>523</v>
      </c>
      <c r="E236" s="63"/>
      <c r="F236" s="63"/>
      <c r="G236" s="63"/>
      <c r="H236" s="63"/>
      <c r="I236" s="64"/>
    </row>
    <row r="237" spans="1:9" x14ac:dyDescent="0.2">
      <c r="A237" s="118" t="s">
        <v>539</v>
      </c>
      <c r="B237" s="118">
        <v>5</v>
      </c>
      <c r="C237" s="46"/>
      <c r="D237" s="225"/>
      <c r="I237" s="57"/>
    </row>
    <row r="238" spans="1:9" x14ac:dyDescent="0.2">
      <c r="A238" s="118" t="s">
        <v>511</v>
      </c>
      <c r="B238">
        <f>Rs*CSAmp_gain</f>
        <v>0.02</v>
      </c>
      <c r="C238" s="225" t="s">
        <v>120</v>
      </c>
      <c r="D238" s="118" t="s">
        <v>530</v>
      </c>
      <c r="I238" s="57"/>
    </row>
    <row r="239" spans="1:9" x14ac:dyDescent="0.2">
      <c r="A239" s="118" t="s">
        <v>492</v>
      </c>
      <c r="B239" s="118">
        <v>1.2700000000000001E-3</v>
      </c>
      <c r="C239" s="118" t="s">
        <v>70</v>
      </c>
      <c r="D239" s="118" t="s">
        <v>512</v>
      </c>
      <c r="I239" s="57"/>
    </row>
    <row r="240" spans="1:9" x14ac:dyDescent="0.2">
      <c r="A240" s="118"/>
      <c r="B240" s="118"/>
      <c r="C240" s="118"/>
      <c r="D240" s="118"/>
      <c r="I240" s="57"/>
    </row>
    <row r="241" spans="1:9" x14ac:dyDescent="0.2">
      <c r="A241" s="118" t="s">
        <v>537</v>
      </c>
      <c r="B241" s="472">
        <v>1.9999999999999999E-6</v>
      </c>
      <c r="C241" s="118" t="s">
        <v>70</v>
      </c>
      <c r="D241" s="118" t="s">
        <v>538</v>
      </c>
      <c r="I241" s="57"/>
    </row>
    <row r="242" spans="1:9" x14ac:dyDescent="0.2">
      <c r="A242" s="118" t="s">
        <v>551</v>
      </c>
      <c r="B242" s="472">
        <v>3.9999999999999998E-6</v>
      </c>
      <c r="C242" s="118" t="s">
        <v>2</v>
      </c>
      <c r="D242" s="118" t="s">
        <v>562</v>
      </c>
      <c r="I242" s="57"/>
    </row>
    <row r="243" spans="1:9" x14ac:dyDescent="0.2">
      <c r="A243" s="118"/>
      <c r="B243" s="420"/>
      <c r="C243" s="118"/>
      <c r="D243" s="118"/>
      <c r="I243" s="57"/>
    </row>
    <row r="244" spans="1:9" x14ac:dyDescent="0.2">
      <c r="A244" s="118" t="s">
        <v>632</v>
      </c>
      <c r="B244" s="398">
        <f>Isc_const/(Cslope*10^-12)</f>
        <v>14814.814814814814</v>
      </c>
      <c r="C244" s="118" t="s">
        <v>441</v>
      </c>
      <c r="D244" s="118"/>
      <c r="I244" s="57"/>
    </row>
    <row r="245" spans="1:9" x14ac:dyDescent="0.2">
      <c r="A245" s="118" t="s">
        <v>633</v>
      </c>
      <c r="B245" s="333">
        <f>(ABS((Vin-Vout))*gm_slopecomp)/(Cslope*10^-12)</f>
        <v>0</v>
      </c>
      <c r="C245" s="118" t="s">
        <v>441</v>
      </c>
      <c r="D245" s="118"/>
      <c r="I245" s="57"/>
    </row>
    <row r="246" spans="1:9" x14ac:dyDescent="0.2">
      <c r="A246" s="118" t="s">
        <v>513</v>
      </c>
      <c r="B246" s="407">
        <f>Se_fixed+Se_proportional</f>
        <v>14814.814814814814</v>
      </c>
      <c r="C246" s="408" t="s">
        <v>441</v>
      </c>
      <c r="D246" s="408" t="s">
        <v>640</v>
      </c>
      <c r="E246" s="408"/>
      <c r="I246" s="57"/>
    </row>
    <row r="247" spans="1:9" x14ac:dyDescent="0.2">
      <c r="A247" s="118"/>
      <c r="B247" s="407"/>
      <c r="C247" s="408"/>
      <c r="D247" s="408"/>
      <c r="E247" s="408"/>
      <c r="I247" s="57"/>
    </row>
    <row r="248" spans="1:9" x14ac:dyDescent="0.2">
      <c r="A248" s="118" t="s">
        <v>637</v>
      </c>
      <c r="B248" s="473">
        <f>Se_fixed/Fsw</f>
        <v>5.9259259259259255E-2</v>
      </c>
      <c r="C248" s="408" t="s">
        <v>441</v>
      </c>
      <c r="D248" s="408" t="s">
        <v>647</v>
      </c>
      <c r="E248" s="408"/>
      <c r="I248" s="57"/>
    </row>
    <row r="249" spans="1:9" x14ac:dyDescent="0.2">
      <c r="A249" s="118" t="s">
        <v>638</v>
      </c>
      <c r="B249" s="473">
        <f>Se_proportional/Fsw</f>
        <v>0</v>
      </c>
      <c r="C249" s="408" t="s">
        <v>441</v>
      </c>
      <c r="D249" s="408" t="s">
        <v>648</v>
      </c>
      <c r="E249" s="408"/>
      <c r="I249" s="57"/>
    </row>
    <row r="250" spans="1:9" x14ac:dyDescent="0.2">
      <c r="A250" s="118" t="s">
        <v>639</v>
      </c>
      <c r="B250" s="473">
        <f>Se/Fsw</f>
        <v>5.9259259259259255E-2</v>
      </c>
      <c r="C250" s="408" t="s">
        <v>441</v>
      </c>
      <c r="D250" s="408" t="s">
        <v>649</v>
      </c>
      <c r="I250" s="57"/>
    </row>
    <row r="251" spans="1:9" x14ac:dyDescent="0.2">
      <c r="A251" s="118" t="s">
        <v>646</v>
      </c>
      <c r="B251" s="473">
        <f>gm_slopecomp/(Cslope*10^-12*Fsw)</f>
        <v>2.9629629629629627E-2</v>
      </c>
      <c r="C251" s="408"/>
      <c r="D251" s="408" t="s">
        <v>650</v>
      </c>
      <c r="I251" s="57"/>
    </row>
    <row r="252" spans="1:9" x14ac:dyDescent="0.2">
      <c r="A252" s="118"/>
      <c r="B252" s="409"/>
      <c r="C252" s="408"/>
      <c r="D252" s="408" t="s">
        <v>651</v>
      </c>
      <c r="I252" s="57"/>
    </row>
    <row r="253" spans="1:9" x14ac:dyDescent="0.2">
      <c r="A253" s="118"/>
      <c r="B253" s="409"/>
      <c r="C253" s="408"/>
      <c r="D253" s="408"/>
      <c r="I253" s="57"/>
    </row>
    <row r="254" spans="1:9" x14ac:dyDescent="0.2">
      <c r="A254" s="118" t="s">
        <v>634</v>
      </c>
      <c r="B254" s="405">
        <f>(ABS((Vin-Vout))*gm_slopecomp+0.000004)/(Cslope*10^-12)/Ri</f>
        <v>740740.74074074067</v>
      </c>
      <c r="C254" s="388" t="s">
        <v>514</v>
      </c>
      <c r="D254" s="388" t="s">
        <v>540</v>
      </c>
      <c r="I254" s="57"/>
    </row>
    <row r="255" spans="1:9" x14ac:dyDescent="0.2">
      <c r="A255" s="118" t="s">
        <v>515</v>
      </c>
      <c r="B255" s="405">
        <f>IF(VIN_nom&gt;Vout, (Vin-Vout)/Lf, Vin/Lf)</f>
        <v>2553191.489361702</v>
      </c>
      <c r="C255" s="388" t="s">
        <v>514</v>
      </c>
      <c r="D255" s="388" t="s">
        <v>516</v>
      </c>
      <c r="I255" s="57">
        <f>Cslope</f>
        <v>270</v>
      </c>
    </row>
    <row r="256" spans="1:9" x14ac:dyDescent="0.2">
      <c r="A256" s="118" t="s">
        <v>535</v>
      </c>
      <c r="B256" s="405">
        <f>IF(VIN_nom&gt;Vout, Vout/Lf, (Vout-Vin)/Lf)</f>
        <v>0</v>
      </c>
      <c r="C256" s="388" t="s">
        <v>514</v>
      </c>
      <c r="D256" s="388" t="s">
        <v>534</v>
      </c>
      <c r="I256" s="57"/>
    </row>
    <row r="257" spans="1:9" x14ac:dyDescent="0.2">
      <c r="A257" s="118"/>
      <c r="B257" s="405"/>
      <c r="C257" s="388"/>
      <c r="D257" s="388"/>
      <c r="I257" s="57"/>
    </row>
    <row r="258" spans="1:9" x14ac:dyDescent="0.2">
      <c r="A258" s="118" t="s">
        <v>541</v>
      </c>
      <c r="B258" s="416">
        <f>Se/1000</f>
        <v>14.814814814814813</v>
      </c>
      <c r="C258" s="417" t="s">
        <v>589</v>
      </c>
      <c r="D258" s="417" t="s">
        <v>549</v>
      </c>
      <c r="I258" s="57"/>
    </row>
    <row r="259" spans="1:9" x14ac:dyDescent="0.2">
      <c r="A259" s="118" t="s">
        <v>547</v>
      </c>
      <c r="B259" s="416">
        <f>Sn*Ri/1000</f>
        <v>51.063829787234042</v>
      </c>
      <c r="C259" s="417" t="s">
        <v>589</v>
      </c>
      <c r="D259" s="417" t="s">
        <v>550</v>
      </c>
      <c r="I259" s="57"/>
    </row>
    <row r="260" spans="1:9" x14ac:dyDescent="0.2">
      <c r="A260" s="118" t="s">
        <v>548</v>
      </c>
      <c r="B260" s="416">
        <f>Sf*Ri/1000</f>
        <v>0</v>
      </c>
      <c r="C260" s="417" t="s">
        <v>589</v>
      </c>
      <c r="D260" s="417" t="s">
        <v>550</v>
      </c>
      <c r="I260" s="57"/>
    </row>
    <row r="261" spans="1:9" x14ac:dyDescent="0.2">
      <c r="A261" s="118"/>
      <c r="B261" s="416"/>
      <c r="C261" s="417"/>
      <c r="D261" s="417"/>
      <c r="I261" s="57"/>
    </row>
    <row r="262" spans="1:9" x14ac:dyDescent="0.2">
      <c r="A262" s="118" t="s">
        <v>801</v>
      </c>
      <c r="B262" s="542">
        <f>(1-Don_Vinmax_2)/Fsw</f>
        <v>2.6586551264980026E-6</v>
      </c>
      <c r="C262" s="408" t="s">
        <v>800</v>
      </c>
      <c r="D262" s="417"/>
      <c r="I262" s="57"/>
    </row>
    <row r="263" spans="1:9" x14ac:dyDescent="0.2">
      <c r="A263" s="118"/>
      <c r="B263" s="542"/>
      <c r="C263" s="408"/>
      <c r="D263" s="417"/>
      <c r="I263" s="57"/>
    </row>
    <row r="264" spans="1:9" x14ac:dyDescent="0.2">
      <c r="A264" s="118" t="s">
        <v>805</v>
      </c>
      <c r="B264" s="542">
        <f>IF(VIN_min&gt;Vout, (1-Don_Vinmin_2)/Fsw, Don_Vinmin_2/Fsw)</f>
        <v>2.047982062780269E-6</v>
      </c>
      <c r="C264" s="408" t="s">
        <v>800</v>
      </c>
      <c r="D264" s="417"/>
      <c r="I264" s="57"/>
    </row>
    <row r="265" spans="1:9" x14ac:dyDescent="0.2">
      <c r="A265" s="118"/>
      <c r="B265" s="541"/>
      <c r="C265" s="408"/>
      <c r="D265" s="417"/>
      <c r="I265" s="57"/>
    </row>
    <row r="266" spans="1:9" x14ac:dyDescent="0.2">
      <c r="A266" s="118" t="s">
        <v>803</v>
      </c>
      <c r="B266" s="543">
        <f>1.6+5*Rs*(-Iripple_Vinmax/2)-(gm_slopecomp*(VIN_max-Vout)+Isc_const)/(Cslope*0.000000000001)*Toff_Vinmax</f>
        <v>1.0194685100716776</v>
      </c>
      <c r="C266" s="544" t="s">
        <v>0</v>
      </c>
      <c r="D266" s="544" t="s">
        <v>804</v>
      </c>
      <c r="F266" s="410">
        <f>1.6+5*Rs*(Iripple_Vinmax/2)+(gm_slopecomp*(Vout-VIN_max)+Isc_const)/(Cslope*0.000000000001)*Don_Vinmax_2/Fsw</f>
        <v>1.4499046713654189</v>
      </c>
      <c r="G266" s="388" t="s">
        <v>448</v>
      </c>
      <c r="I266" s="57"/>
    </row>
    <row r="267" spans="1:9" x14ac:dyDescent="0.2">
      <c r="A267" s="118" t="s">
        <v>802</v>
      </c>
      <c r="B267" s="543">
        <f>1.6+5*Rs*(Iin_Vinmin+Iripple_Vinmin/2)+(gm_slopecomp*(Vout-VIN_min)+Isc_const)/(Cslope*0.000000000001)*Ton_Vinmin</f>
        <v>2.2808396852152222</v>
      </c>
      <c r="C267" s="544" t="s">
        <v>0</v>
      </c>
      <c r="D267" s="544" t="s">
        <v>448</v>
      </c>
      <c r="F267" s="410">
        <f>1.6+5*Rs*(-Iripple_Vinmin/2)-(gm_slopecomp*(VIN_min-Vout)+Isc_const)/(Cslope*0.000000000001)*(1-Don_Vinmin_2)/Fsw</f>
        <v>1.6316931166449342</v>
      </c>
      <c r="G267" s="388" t="s">
        <v>804</v>
      </c>
      <c r="I267" s="57"/>
    </row>
    <row r="268" spans="1:9" x14ac:dyDescent="0.2">
      <c r="A268" s="118"/>
      <c r="B268" s="416"/>
      <c r="C268" s="417"/>
      <c r="D268" s="417"/>
      <c r="I268" s="57"/>
    </row>
    <row r="269" spans="1:9" x14ac:dyDescent="0.2">
      <c r="A269" s="118"/>
      <c r="B269" s="457">
        <f>IF(VIN_max&gt;Vout, B266,F266)</f>
        <v>1.0194685100716776</v>
      </c>
      <c r="C269" s="417"/>
      <c r="D269" s="417"/>
      <c r="I269" s="57"/>
    </row>
    <row r="270" spans="1:9" x14ac:dyDescent="0.2">
      <c r="A270" s="118"/>
      <c r="B270" s="457">
        <f>IF(VIN_min&lt;Vout, B267,F267)</f>
        <v>2.2808396852152222</v>
      </c>
      <c r="C270" s="417"/>
      <c r="D270" s="417"/>
      <c r="I270" s="57"/>
    </row>
    <row r="271" spans="1:9" x14ac:dyDescent="0.2">
      <c r="A271" s="118"/>
      <c r="B271" s="457"/>
      <c r="C271" s="417"/>
      <c r="D271" s="417"/>
      <c r="I271" s="57"/>
    </row>
    <row r="272" spans="1:9" x14ac:dyDescent="0.2">
      <c r="A272" s="118"/>
      <c r="B272" s="416"/>
      <c r="C272" s="417"/>
      <c r="D272" s="388"/>
      <c r="I272" s="57"/>
    </row>
    <row r="273" spans="1:9" x14ac:dyDescent="0.2">
      <c r="A273" s="118" t="s">
        <v>587</v>
      </c>
      <c r="B273" s="386" t="e">
        <f>1+Se_ext/Sf</f>
        <v>#DIV/0!</v>
      </c>
      <c r="C273"/>
      <c r="D273" s="118" t="s">
        <v>536</v>
      </c>
      <c r="I273" s="57"/>
    </row>
    <row r="274" spans="1:9" x14ac:dyDescent="0.2">
      <c r="A274" s="118" t="s">
        <v>588</v>
      </c>
      <c r="B274" s="410" t="e">
        <f>mc_buck*Don_Vinnom_2</f>
        <v>#DIV/0!</v>
      </c>
      <c r="C274" s="388"/>
      <c r="D274" s="388" t="s">
        <v>533</v>
      </c>
      <c r="I274" s="57"/>
    </row>
    <row r="275" spans="1:9" x14ac:dyDescent="0.2">
      <c r="A275" s="2" t="s">
        <v>579</v>
      </c>
      <c r="B275" s="430">
        <f>1+Se_ext/Sn</f>
        <v>1.2901234567901234</v>
      </c>
      <c r="C275" s="388"/>
      <c r="D275" s="118" t="s">
        <v>645</v>
      </c>
      <c r="I275" s="57"/>
    </row>
    <row r="276" spans="1:9" x14ac:dyDescent="0.2">
      <c r="A276" s="2" t="s">
        <v>580</v>
      </c>
      <c r="B276" s="410">
        <f>mc_boost*(1-Don_Vinnom_2)</f>
        <v>1.2852998925264549</v>
      </c>
      <c r="C276" s="388"/>
      <c r="D276" s="388" t="s">
        <v>590</v>
      </c>
      <c r="I276" s="57"/>
    </row>
    <row r="277" spans="1:9" x14ac:dyDescent="0.2">
      <c r="A277" s="2"/>
      <c r="B277" s="430"/>
      <c r="C277" s="388"/>
      <c r="D277" s="388"/>
      <c r="I277" s="57"/>
    </row>
    <row r="278" spans="1:9" x14ac:dyDescent="0.2">
      <c r="A278" s="2" t="s">
        <v>517</v>
      </c>
      <c r="B278" s="410">
        <f>IF(VIN_nom&gt;Vout, mc_buck, mc_boost)</f>
        <v>1.2901234567901234</v>
      </c>
      <c r="C278" s="388"/>
      <c r="D278" s="388"/>
      <c r="I278" s="57"/>
    </row>
    <row r="279" spans="1:9" x14ac:dyDescent="0.2">
      <c r="A279" s="2" t="s">
        <v>491</v>
      </c>
      <c r="B279" s="457">
        <f>IF(VIN_nom&gt;Vout, k_buck, k_boost)</f>
        <v>1.2852998925264549</v>
      </c>
      <c r="C279" s="388"/>
      <c r="D279" s="388"/>
      <c r="I279" s="57"/>
    </row>
    <row r="280" spans="1:9" x14ac:dyDescent="0.2">
      <c r="A280" s="118" t="s">
        <v>29</v>
      </c>
      <c r="B280" s="386">
        <f>1/Pi/(k-0.5)</f>
        <v>0.40533545156035994</v>
      </c>
      <c r="C280"/>
      <c r="D280" s="118" t="s">
        <v>528</v>
      </c>
      <c r="F280" s="118" t="s">
        <v>543</v>
      </c>
      <c r="I280" s="57"/>
    </row>
    <row r="281" spans="1:9" x14ac:dyDescent="0.2">
      <c r="A281" s="118"/>
      <c r="B281" s="386"/>
      <c r="C281"/>
      <c r="D281" s="118"/>
      <c r="F281" s="118"/>
      <c r="I281" s="57"/>
    </row>
    <row r="282" spans="1:9" x14ac:dyDescent="0.2">
      <c r="A282" s="2" t="s">
        <v>630</v>
      </c>
      <c r="B282" s="445">
        <f>1/((0.5-Don_Vinnom_2)*Ri/(Fsw*Lf)+V_sc_fixed/Vout+K_SL*Don_Vinnom_2)</f>
        <v>74.095751151272921</v>
      </c>
      <c r="C282" s="118"/>
      <c r="D282" s="118"/>
      <c r="E282" s="118"/>
      <c r="I282" s="57"/>
    </row>
    <row r="283" spans="1:9" x14ac:dyDescent="0.2">
      <c r="A283" s="2" t="s">
        <v>652</v>
      </c>
      <c r="B283" s="397">
        <f>0.5*Ri/(Lf*Fsw)*Don_Vinnom_2*(1-Don_Vinnom_2)+K_SL*Don_Vinnom_2^2</f>
        <v>3.2115129488094739E-5</v>
      </c>
      <c r="C283" s="118"/>
      <c r="D283" s="118"/>
      <c r="E283" s="118"/>
      <c r="I283" s="57"/>
    </row>
    <row r="284" spans="1:9" x14ac:dyDescent="0.2">
      <c r="A284" s="2" t="s">
        <v>631</v>
      </c>
      <c r="B284" s="445">
        <f>1+Ro/Rout+Rout*(1-Don_Vinnom_2)^2/Ri*(1/KM+K_1/(1-Don_Vinnom_2))</f>
        <v>2.6713657548577876</v>
      </c>
      <c r="C284" s="118"/>
      <c r="E284" s="118"/>
      <c r="I284" s="57"/>
    </row>
    <row r="285" spans="1:9" x14ac:dyDescent="0.2">
      <c r="A285" s="118"/>
      <c r="B285" s="386"/>
      <c r="C285"/>
      <c r="D285" s="118"/>
      <c r="F285" s="118"/>
      <c r="I285" s="57"/>
    </row>
    <row r="286" spans="1:9" x14ac:dyDescent="0.2">
      <c r="A286" s="388" t="s">
        <v>591</v>
      </c>
      <c r="B286" s="386"/>
      <c r="C286"/>
      <c r="D286" s="118"/>
      <c r="I286" s="57"/>
    </row>
    <row r="287" spans="1:9" x14ac:dyDescent="0.2">
      <c r="A287" s="118" t="s">
        <v>518</v>
      </c>
      <c r="B287" s="400">
        <v>8</v>
      </c>
      <c r="C287" s="118" t="s">
        <v>217</v>
      </c>
      <c r="D287" s="118" t="s">
        <v>644</v>
      </c>
      <c r="I287" s="57"/>
    </row>
    <row r="288" spans="1:9" x14ac:dyDescent="0.2">
      <c r="A288" s="118" t="s">
        <v>519</v>
      </c>
      <c r="B288" s="30">
        <f>gm/(2*Pi*GBW*1000000)</f>
        <v>2.5265847244708825E-11</v>
      </c>
      <c r="C288" s="118" t="s">
        <v>26</v>
      </c>
      <c r="D288" s="118" t="s">
        <v>643</v>
      </c>
      <c r="I288" s="57"/>
    </row>
    <row r="289" spans="1:12" x14ac:dyDescent="0.2">
      <c r="A289" s="118" t="s">
        <v>520</v>
      </c>
      <c r="B289" s="422">
        <v>20000000</v>
      </c>
      <c r="C289" s="225" t="s">
        <v>120</v>
      </c>
      <c r="D289" s="118" t="s">
        <v>642</v>
      </c>
      <c r="I289" s="57"/>
    </row>
    <row r="290" spans="1:12" x14ac:dyDescent="0.2">
      <c r="A290" s="118" t="s">
        <v>945</v>
      </c>
      <c r="B290">
        <f>gm*RoEA</f>
        <v>25400</v>
      </c>
      <c r="C290" s="225"/>
      <c r="D290" s="118"/>
      <c r="I290" s="57"/>
    </row>
    <row r="291" spans="1:12" x14ac:dyDescent="0.2">
      <c r="A291" s="118" t="s">
        <v>946</v>
      </c>
      <c r="B291" s="4">
        <f>20*LOG(B290)</f>
        <v>88.096674332398777</v>
      </c>
      <c r="C291" s="118" t="s">
        <v>944</v>
      </c>
      <c r="D291" s="118"/>
      <c r="I291" s="57"/>
    </row>
    <row r="292" spans="1:12" x14ac:dyDescent="0.2">
      <c r="A292" s="2" t="s">
        <v>521</v>
      </c>
      <c r="B292" s="333">
        <f>gm*RoEA</f>
        <v>25400</v>
      </c>
      <c r="C292" s="118" t="s">
        <v>30</v>
      </c>
      <c r="D292" s="118" t="s">
        <v>641</v>
      </c>
      <c r="I292" s="57"/>
    </row>
    <row r="293" spans="1:12" x14ac:dyDescent="0.2">
      <c r="A293" s="2" t="s">
        <v>522</v>
      </c>
      <c r="B293" s="4">
        <f>Vref/Vout</f>
        <v>6.6666666666666666E-2</v>
      </c>
      <c r="C293" s="118" t="s">
        <v>30</v>
      </c>
      <c r="D293" s="118" t="s">
        <v>636</v>
      </c>
      <c r="I293" s="57"/>
    </row>
    <row r="294" spans="1:12" x14ac:dyDescent="0.2">
      <c r="A294" s="2" t="s">
        <v>476</v>
      </c>
      <c r="B294" s="118">
        <f>1/Ri</f>
        <v>50</v>
      </c>
      <c r="C294" s="118"/>
      <c r="D294" s="118" t="s">
        <v>529</v>
      </c>
      <c r="I294" s="57"/>
      <c r="L294">
        <f>Ri</f>
        <v>0.02</v>
      </c>
    </row>
    <row r="295" spans="1:12" x14ac:dyDescent="0.2">
      <c r="A295" s="2" t="s">
        <v>578</v>
      </c>
      <c r="B295" s="48">
        <f>Ro/Ri*1/((1+Ro*(k-0.5)/(Fsw*Lf)))</f>
        <v>29.969904209035278</v>
      </c>
      <c r="C295"/>
      <c r="D295" s="2" t="s">
        <v>635</v>
      </c>
      <c r="I295" s="57"/>
    </row>
    <row r="296" spans="1:12" x14ac:dyDescent="0.2">
      <c r="A296" s="2" t="s">
        <v>581</v>
      </c>
      <c r="B296" s="48">
        <f>Ro*(1-Don_Vinnom_2)/(Ri*KD)</f>
        <v>18.647037735334795</v>
      </c>
      <c r="C296"/>
      <c r="D296" s="388" t="s">
        <v>592</v>
      </c>
      <c r="I296" s="57"/>
    </row>
    <row r="297" spans="1:12" x14ac:dyDescent="0.2">
      <c r="A297" s="2" t="s">
        <v>481</v>
      </c>
      <c r="B297" s="48">
        <f>IF(VIN_nom&gt;Vout, Am_buck, Am_boost)</f>
        <v>18.647037735334795</v>
      </c>
      <c r="C297"/>
      <c r="D297" s="118" t="s">
        <v>653</v>
      </c>
      <c r="I297" s="57"/>
    </row>
    <row r="298" spans="1:12" x14ac:dyDescent="0.2">
      <c r="A298" s="2"/>
      <c r="B298" s="4"/>
      <c r="C298"/>
      <c r="D298" s="388"/>
      <c r="I298" s="57"/>
    </row>
    <row r="299" spans="1:12" x14ac:dyDescent="0.2">
      <c r="A299" s="118" t="s">
        <v>627</v>
      </c>
      <c r="B299" s="4">
        <f>2*Pi*Ri/gm</f>
        <v>98.947800000000001</v>
      </c>
      <c r="C299"/>
      <c r="D299" s="118" t="s">
        <v>654</v>
      </c>
      <c r="I299" s="57"/>
    </row>
    <row r="300" spans="1:12" x14ac:dyDescent="0.2">
      <c r="A300" s="118" t="s">
        <v>628</v>
      </c>
      <c r="B300" s="4">
        <f>2*Pi*Ri/gm</f>
        <v>98.947800000000001</v>
      </c>
      <c r="C300"/>
      <c r="D300" s="118" t="s">
        <v>655</v>
      </c>
      <c r="I300" s="57"/>
    </row>
    <row r="301" spans="1:12" x14ac:dyDescent="0.2">
      <c r="A301" s="388" t="s">
        <v>582</v>
      </c>
      <c r="B301" s="4"/>
      <c r="C301"/>
      <c r="D301" s="118"/>
      <c r="I301" s="57"/>
    </row>
    <row r="302" spans="1:12" x14ac:dyDescent="0.2">
      <c r="A302" s="388"/>
      <c r="B302" s="4"/>
      <c r="C302"/>
      <c r="D302" s="118"/>
      <c r="I302" s="57"/>
    </row>
    <row r="303" spans="1:12" x14ac:dyDescent="0.2">
      <c r="A303" s="223" t="s">
        <v>46</v>
      </c>
      <c r="B303" s="118">
        <f>Rout</f>
        <v>1</v>
      </c>
      <c r="C303" s="225" t="s">
        <v>120</v>
      </c>
      <c r="D303" s="118" t="s">
        <v>350</v>
      </c>
      <c r="I303" s="57"/>
    </row>
    <row r="304" spans="1:12" x14ac:dyDescent="0.2">
      <c r="A304" s="118" t="s">
        <v>470</v>
      </c>
      <c r="B304" s="118">
        <f>Rout</f>
        <v>1</v>
      </c>
      <c r="C304" s="225" t="s">
        <v>120</v>
      </c>
      <c r="D304" s="118" t="s">
        <v>350</v>
      </c>
      <c r="I304" s="57"/>
    </row>
    <row r="305" spans="1:12" x14ac:dyDescent="0.2">
      <c r="A305" s="118"/>
      <c r="B305" s="118"/>
      <c r="C305" s="225"/>
      <c r="D305" s="118"/>
      <c r="I305" s="57"/>
    </row>
    <row r="306" spans="1:12" x14ac:dyDescent="0.2">
      <c r="A306" s="118" t="s">
        <v>571</v>
      </c>
      <c r="B306" s="415">
        <f>1/(2*Pi*Ro*Cout)+(k-0.5)/(2*Pi*Fsw*Lf*Cout)</f>
        <v>442.54101871574278</v>
      </c>
      <c r="C306" t="s">
        <v>10</v>
      </c>
      <c r="D306" s="118" t="s">
        <v>568</v>
      </c>
      <c r="E306" s="46"/>
      <c r="I306" s="57"/>
    </row>
    <row r="307" spans="1:12" x14ac:dyDescent="0.2">
      <c r="A307" s="118" t="s">
        <v>570</v>
      </c>
      <c r="B307" s="415">
        <f>KD/(2*Pi*Ro*Cout)</f>
        <v>708.60177529641101</v>
      </c>
      <c r="C307" s="118" t="s">
        <v>10</v>
      </c>
      <c r="D307" s="388" t="s">
        <v>569</v>
      </c>
      <c r="I307" s="57"/>
    </row>
    <row r="308" spans="1:12" x14ac:dyDescent="0.2">
      <c r="A308" s="118" t="s">
        <v>619</v>
      </c>
      <c r="B308" s="398">
        <f>IF(VIN_nom&gt;Vout, Fload_u,B307)</f>
        <v>708.60177529641101</v>
      </c>
      <c r="C308" s="118" t="s">
        <v>10</v>
      </c>
      <c r="D308" s="118"/>
      <c r="E308" s="46"/>
      <c r="I308" s="57"/>
    </row>
    <row r="309" spans="1:12" x14ac:dyDescent="0.2">
      <c r="A309" s="118"/>
      <c r="B309" s="398"/>
      <c r="C309"/>
      <c r="D309" s="118"/>
      <c r="E309" s="46"/>
      <c r="I309" s="57"/>
    </row>
    <row r="310" spans="1:12" x14ac:dyDescent="0.2">
      <c r="A310" s="118" t="s">
        <v>531</v>
      </c>
      <c r="B310" s="474">
        <f>1/(2*Pi*(RoEA+Rcea1_u)*Cc1ea_u)</f>
        <v>0.24106924251452713</v>
      </c>
      <c r="C310" t="s">
        <v>10</v>
      </c>
      <c r="D310" s="118" t="s">
        <v>567</v>
      </c>
      <c r="E310" s="46"/>
      <c r="I310" s="57"/>
    </row>
    <row r="311" spans="1:12" x14ac:dyDescent="0.2">
      <c r="A311" s="118" t="s">
        <v>532</v>
      </c>
      <c r="B311" s="415">
        <f>1/(2*Pi*Rcea1_u*(Cc2ea_u+Cbw))</f>
        <v>25078.005445023155</v>
      </c>
      <c r="C311" t="s">
        <v>10</v>
      </c>
      <c r="D311" s="118" t="s">
        <v>544</v>
      </c>
      <c r="E311" s="46"/>
      <c r="I311" s="57"/>
      <c r="K311">
        <f>Fcross</f>
        <v>7000</v>
      </c>
    </row>
    <row r="312" spans="1:12" x14ac:dyDescent="0.2">
      <c r="A312" s="223" t="s">
        <v>28</v>
      </c>
      <c r="B312" s="415">
        <f>1/(2*Pi*Cout*CoutEsr)</f>
        <v>132629.11939479699</v>
      </c>
      <c r="C312" t="s">
        <v>10</v>
      </c>
      <c r="D312" s="118" t="s">
        <v>565</v>
      </c>
      <c r="I312" s="57"/>
    </row>
    <row r="313" spans="1:12" x14ac:dyDescent="0.2">
      <c r="A313" s="223" t="s">
        <v>469</v>
      </c>
      <c r="B313" s="475">
        <f>(1-Don_Vinnom_2)^2*Ro/(2*Pi*Lf)</f>
        <v>33610.012463615807</v>
      </c>
      <c r="C313" t="s">
        <v>10</v>
      </c>
      <c r="D313" s="118" t="s">
        <v>566</v>
      </c>
      <c r="H313" s="388" t="s">
        <v>613</v>
      </c>
      <c r="I313" s="57"/>
    </row>
    <row r="314" spans="1:12" x14ac:dyDescent="0.2">
      <c r="A314" s="118" t="s">
        <v>577</v>
      </c>
      <c r="B314" s="415">
        <f>Fsw/2</f>
        <v>125000</v>
      </c>
      <c r="C314" t="s">
        <v>10</v>
      </c>
      <c r="D314" s="118" t="s">
        <v>576</v>
      </c>
      <c r="I314" s="57"/>
    </row>
    <row r="315" spans="1:12" x14ac:dyDescent="0.2">
      <c r="A315" s="118"/>
      <c r="B315" s="398"/>
      <c r="C315"/>
      <c r="D315" s="118"/>
      <c r="E315" s="46"/>
      <c r="I315" s="57"/>
    </row>
    <row r="316" spans="1:12" x14ac:dyDescent="0.2">
      <c r="A316" s="223" t="s">
        <v>564</v>
      </c>
      <c r="B316" s="343">
        <f>'Design Converter'!E71*1000</f>
        <v>7000</v>
      </c>
      <c r="C316" s="397" t="s">
        <v>10</v>
      </c>
      <c r="D316" s="118"/>
      <c r="E316">
        <f>z_RHP</f>
        <v>33610.012463615807</v>
      </c>
      <c r="I316" s="57"/>
    </row>
    <row r="317" spans="1:12" x14ac:dyDescent="0.2">
      <c r="A317" s="66" t="s">
        <v>35</v>
      </c>
      <c r="B317" s="398">
        <f>IF(VIN_nom&gt;Vout, Fcross*Cout*2*Pi*Ri/(gm*Afb), Fcross*Cout*2*Pi*Ri/(gm*Afb*(1-Don_Vinnom_2)*SQRT(1+(Fcross/z_RHP)^2)))</f>
        <v>6125.6598746290565</v>
      </c>
      <c r="C317" s="225" t="s">
        <v>120</v>
      </c>
      <c r="D317" s="118" t="s">
        <v>526</v>
      </c>
      <c r="I317" s="57">
        <v>1</v>
      </c>
      <c r="K317" s="333">
        <f>Fcross*Cout*2*Pi*Ri/(gm*Afb*(1-Don_Vinnom_2))</f>
        <v>6257.1057126533333</v>
      </c>
      <c r="L317" s="225" t="s">
        <v>120</v>
      </c>
    </row>
    <row r="318" spans="1:12" x14ac:dyDescent="0.2">
      <c r="A318" s="66" t="s">
        <v>33</v>
      </c>
      <c r="B318" s="397">
        <f>1/(Rcea1*(1.5*Fp_dominant)*2*Pi)</f>
        <v>2.4444083464419047E-8</v>
      </c>
      <c r="C318" t="s">
        <v>26</v>
      </c>
      <c r="D318" s="621" t="s">
        <v>957</v>
      </c>
      <c r="I318" s="57">
        <v>1</v>
      </c>
    </row>
    <row r="319" spans="1:12" x14ac:dyDescent="0.2">
      <c r="A319" s="66" t="s">
        <v>34</v>
      </c>
      <c r="B319" s="397">
        <f>1/((Rcea1*2*Pi*B320))-Cbw</f>
        <v>5.0497254882817836E-10</v>
      </c>
      <c r="C319" t="s">
        <v>26</v>
      </c>
      <c r="D319" s="118" t="s">
        <v>527</v>
      </c>
      <c r="I319" s="57">
        <v>1</v>
      </c>
    </row>
    <row r="320" spans="1:12" x14ac:dyDescent="0.2">
      <c r="A320" s="65"/>
      <c r="B320" s="1">
        <f>MAX(Fcross*7,Fsw/10)</f>
        <v>49000</v>
      </c>
      <c r="C320" s="225"/>
      <c r="D320" s="621" t="s">
        <v>956</v>
      </c>
      <c r="E320" s="620"/>
      <c r="F320" s="620"/>
      <c r="G320" s="620"/>
      <c r="H320" s="620"/>
      <c r="I320" s="57">
        <v>1</v>
      </c>
    </row>
    <row r="321" spans="1:9" x14ac:dyDescent="0.2">
      <c r="A321" s="66" t="s">
        <v>472</v>
      </c>
      <c r="I321" s="57"/>
    </row>
    <row r="322" spans="1:9" x14ac:dyDescent="0.2">
      <c r="A322" s="56" t="s">
        <v>36</v>
      </c>
      <c r="B322" s="69">
        <f>'Design Converter'!D78*1000</f>
        <v>6190</v>
      </c>
      <c r="C322" s="225" t="s">
        <v>120</v>
      </c>
      <c r="I322" s="57">
        <v>2</v>
      </c>
    </row>
    <row r="323" spans="1:9" x14ac:dyDescent="0.2">
      <c r="A323" s="56" t="s">
        <v>37</v>
      </c>
      <c r="B323" s="69">
        <f>'Design Converter'!D79*0.000000001</f>
        <v>3.3000000000000004E-8</v>
      </c>
      <c r="C323" t="s">
        <v>26</v>
      </c>
      <c r="I323" s="57">
        <v>2</v>
      </c>
    </row>
    <row r="324" spans="1:9" x14ac:dyDescent="0.2">
      <c r="A324" s="56" t="s">
        <v>38</v>
      </c>
      <c r="B324" s="69">
        <f>'Design Converter'!D80*0.000000000001</f>
        <v>1.0000000000000001E-9</v>
      </c>
      <c r="C324" t="s">
        <v>26</v>
      </c>
      <c r="I324" s="57">
        <v>2</v>
      </c>
    </row>
    <row r="325" spans="1:9" x14ac:dyDescent="0.2">
      <c r="A325" s="56"/>
      <c r="B325" s="48"/>
      <c r="C325"/>
      <c r="I325" s="57"/>
    </row>
    <row r="326" spans="1:9" x14ac:dyDescent="0.2">
      <c r="A326" s="223" t="s">
        <v>525</v>
      </c>
      <c r="B326" s="68">
        <f>'Design Converter'!E32*1*10^-12</f>
        <v>2.7E-10</v>
      </c>
      <c r="C326" s="118" t="s">
        <v>32</v>
      </c>
      <c r="I326" s="57">
        <v>2</v>
      </c>
    </row>
    <row r="327" spans="1:9" x14ac:dyDescent="0.2">
      <c r="A327" s="56"/>
      <c r="C327"/>
      <c r="I327" s="57"/>
    </row>
    <row r="328" spans="1:9" x14ac:dyDescent="0.2">
      <c r="A328" s="66" t="s">
        <v>546</v>
      </c>
      <c r="C328"/>
      <c r="D328">
        <f>Cout</f>
        <v>5.9999999999999995E-4</v>
      </c>
      <c r="E328">
        <f>CoutEsr</f>
        <v>2E-3</v>
      </c>
      <c r="I328" s="57"/>
    </row>
    <row r="329" spans="1:9" x14ac:dyDescent="0.2">
      <c r="A329" s="66" t="s">
        <v>39</v>
      </c>
      <c r="B329" s="399">
        <f>1/(2*Pi*Rcea1_u*Cc1ea_u)</f>
        <v>779.14007575148753</v>
      </c>
      <c r="C329" t="s">
        <v>10</v>
      </c>
      <c r="D329" s="118" t="s">
        <v>625</v>
      </c>
      <c r="I329" s="57"/>
    </row>
    <row r="330" spans="1:9" x14ac:dyDescent="0.2">
      <c r="A330" s="66" t="s">
        <v>40</v>
      </c>
      <c r="B330" s="399">
        <f>1/(2*Pi*Rcea1_u*(Cc1ea_u*(Cc2ea_u+Cbw)/(Cc1ea_u+Cc2ea_u+Cbw)))</f>
        <v>25857.145520774644</v>
      </c>
      <c r="C330" t="s">
        <v>10</v>
      </c>
      <c r="D330" t="s">
        <v>162</v>
      </c>
      <c r="I330" s="57"/>
    </row>
    <row r="331" spans="1:9" x14ac:dyDescent="0.2">
      <c r="C331"/>
      <c r="I331" s="57"/>
    </row>
    <row r="332" spans="1:9" x14ac:dyDescent="0.2">
      <c r="A332" s="56" t="s">
        <v>31</v>
      </c>
      <c r="B332" s="343">
        <f>'Design Converter'!E73*1000</f>
        <v>280000</v>
      </c>
      <c r="C332" s="225" t="s">
        <v>120</v>
      </c>
      <c r="D332" s="118" t="s">
        <v>555</v>
      </c>
      <c r="I332" s="57">
        <v>1</v>
      </c>
    </row>
    <row r="333" spans="1:9" x14ac:dyDescent="0.2">
      <c r="A333" s="66" t="s">
        <v>43</v>
      </c>
      <c r="B333" s="387">
        <f>IF(Vout=Vref,100000000,Vref*B332/((Vout-Vref)))</f>
        <v>20000</v>
      </c>
      <c r="C333" s="225" t="s">
        <v>120</v>
      </c>
      <c r="D333" s="118" t="s">
        <v>554</v>
      </c>
      <c r="I333" s="57"/>
    </row>
    <row r="334" spans="1:9" x14ac:dyDescent="0.2">
      <c r="A334" s="56" t="s">
        <v>167</v>
      </c>
      <c r="B334" s="68">
        <f>IF(Vout=Vref,"N/A",'Standard Value Calculator'!O10)</f>
        <v>20000</v>
      </c>
      <c r="C334" s="225" t="s">
        <v>120</v>
      </c>
      <c r="D334" s="118" t="s">
        <v>553</v>
      </c>
      <c r="I334" s="57"/>
    </row>
    <row r="335" spans="1:9" ht="13.5" thickBot="1" x14ac:dyDescent="0.25">
      <c r="A335" s="414"/>
      <c r="B335" s="414"/>
      <c r="C335" s="71"/>
      <c r="D335" s="61"/>
      <c r="E335" s="71"/>
      <c r="F335" s="61"/>
      <c r="G335" s="61"/>
      <c r="H335" s="61"/>
      <c r="I335" s="62"/>
    </row>
    <row r="336" spans="1:9" x14ac:dyDescent="0.2">
      <c r="A336" s="1"/>
      <c r="B336" s="46"/>
      <c r="C336" s="46"/>
      <c r="E336" s="46"/>
    </row>
    <row r="337" spans="1:9" x14ac:dyDescent="0.2">
      <c r="A337" s="66" t="s">
        <v>206</v>
      </c>
      <c r="B337" s="1"/>
      <c r="C337"/>
    </row>
    <row r="338" spans="1:9" x14ac:dyDescent="0.2">
      <c r="A338" s="66" t="s">
        <v>209</v>
      </c>
      <c r="B338" s="2">
        <v>0</v>
      </c>
      <c r="C338" s="225" t="s">
        <v>120</v>
      </c>
      <c r="D338" s="118" t="s">
        <v>349</v>
      </c>
      <c r="H338" t="e">
        <f>_Don2*RdsonTop+Doff2*RdsonBot+B342*Vin^2*Fsw/2/(((Iripple1/SQRT(3))^2))</f>
        <v>#NAME?</v>
      </c>
    </row>
    <row r="339" spans="1:9" x14ac:dyDescent="0.2">
      <c r="A339" s="66" t="s">
        <v>212</v>
      </c>
      <c r="B339" s="412" t="e">
        <f>0.00000002*Fsw*0.6*4/Iripple1</f>
        <v>#NAME?</v>
      </c>
      <c r="C339" s="46"/>
      <c r="E339" s="46"/>
    </row>
    <row r="340" spans="1:9" x14ac:dyDescent="0.2">
      <c r="A340" s="66" t="s">
        <v>211</v>
      </c>
      <c r="B340" s="412" t="e">
        <f>_Don2*RdsonTop+Doff2*RdsonBot</f>
        <v>#NAME?</v>
      </c>
      <c r="C340" s="46"/>
      <c r="E340" s="46"/>
    </row>
    <row r="341" spans="1:9" x14ac:dyDescent="0.2">
      <c r="A341" s="66" t="s">
        <v>210</v>
      </c>
      <c r="B341" s="412" t="e">
        <f>B342*Vin^2*Fsw/2/(((Iripple1/SQRT(3))^2))</f>
        <v>#NAME?</v>
      </c>
      <c r="C341" s="46"/>
      <c r="E341" s="46"/>
    </row>
    <row r="342" spans="1:9" x14ac:dyDescent="0.2">
      <c r="A342" s="66" t="s">
        <v>213</v>
      </c>
      <c r="B342" s="413">
        <v>5.0000000000000001E-9</v>
      </c>
      <c r="C342" s="46"/>
      <c r="E342" s="46"/>
    </row>
    <row r="343" spans="1:9" x14ac:dyDescent="0.2">
      <c r="A343" s="1"/>
      <c r="B343" s="46"/>
      <c r="C343" s="46"/>
      <c r="E343" s="46"/>
    </row>
    <row r="344" spans="1:9" ht="16.5" thickBot="1" x14ac:dyDescent="0.3">
      <c r="A344" s="96" t="s">
        <v>229</v>
      </c>
    </row>
    <row r="345" spans="1:9" x14ac:dyDescent="0.2">
      <c r="A345" s="93"/>
      <c r="B345" s="63"/>
      <c r="C345" s="317"/>
      <c r="D345" s="63"/>
      <c r="E345" s="63"/>
      <c r="F345" s="63"/>
      <c r="G345" s="63"/>
      <c r="H345" s="63"/>
      <c r="I345" s="64"/>
    </row>
    <row r="346" spans="1:9" x14ac:dyDescent="0.2">
      <c r="A346" s="66" t="s">
        <v>59</v>
      </c>
      <c r="I346" s="57"/>
    </row>
    <row r="347" spans="1:9" x14ac:dyDescent="0.2">
      <c r="A347" s="56" t="s">
        <v>87</v>
      </c>
      <c r="B347" s="29">
        <v>25</v>
      </c>
      <c r="C347" s="118" t="s">
        <v>282</v>
      </c>
      <c r="D347" t="s">
        <v>100</v>
      </c>
      <c r="I347" s="57"/>
    </row>
    <row r="348" spans="1:9" x14ac:dyDescent="0.2">
      <c r="A348" s="66" t="s">
        <v>62</v>
      </c>
      <c r="C348"/>
      <c r="I348" s="57"/>
    </row>
    <row r="349" spans="1:9" x14ac:dyDescent="0.2">
      <c r="A349" s="56" t="s">
        <v>86</v>
      </c>
      <c r="B349" s="59">
        <f>4000/1000000</f>
        <v>4.0000000000000001E-3</v>
      </c>
      <c r="C349" s="118" t="s">
        <v>358</v>
      </c>
      <c r="D349" s="118" t="s">
        <v>690</v>
      </c>
      <c r="I349" s="57"/>
    </row>
    <row r="350" spans="1:9" ht="15.75" x14ac:dyDescent="0.3">
      <c r="A350" s="223" t="s">
        <v>687</v>
      </c>
      <c r="B350" s="59">
        <v>20</v>
      </c>
      <c r="C350" s="118" t="s">
        <v>241</v>
      </c>
      <c r="D350" s="118" t="s">
        <v>688</v>
      </c>
      <c r="I350" s="57"/>
    </row>
    <row r="351" spans="1:9" x14ac:dyDescent="0.2">
      <c r="A351" s="56" t="s">
        <v>90</v>
      </c>
      <c r="B351" s="29">
        <f>RCinEsr</f>
        <v>2E-3</v>
      </c>
      <c r="C351" s="225" t="s">
        <v>120</v>
      </c>
      <c r="D351" s="118" t="s">
        <v>689</v>
      </c>
      <c r="I351" s="57"/>
    </row>
    <row r="352" spans="1:9" x14ac:dyDescent="0.2">
      <c r="A352" s="65" t="s">
        <v>164</v>
      </c>
      <c r="C352"/>
      <c r="I352" s="57"/>
    </row>
    <row r="353" spans="1:9" x14ac:dyDescent="0.2">
      <c r="A353" s="223" t="s">
        <v>684</v>
      </c>
      <c r="B353" s="59">
        <f>7.5</f>
        <v>7.5</v>
      </c>
      <c r="C353" t="s">
        <v>0</v>
      </c>
      <c r="D353" s="388" t="s">
        <v>686</v>
      </c>
      <c r="I353" s="57"/>
    </row>
    <row r="354" spans="1:9" x14ac:dyDescent="0.2">
      <c r="A354" s="66" t="s">
        <v>116</v>
      </c>
      <c r="C354"/>
      <c r="I354" s="57"/>
    </row>
    <row r="355" spans="1:9" x14ac:dyDescent="0.2">
      <c r="A355" s="56" t="s">
        <v>65</v>
      </c>
      <c r="B355" s="59">
        <v>1.5</v>
      </c>
      <c r="C355" s="225" t="s">
        <v>120</v>
      </c>
      <c r="D355" s="118" t="s">
        <v>556</v>
      </c>
      <c r="I355" s="57"/>
    </row>
    <row r="356" spans="1:9" x14ac:dyDescent="0.2">
      <c r="A356" s="56" t="s">
        <v>150</v>
      </c>
      <c r="B356" s="59">
        <v>1</v>
      </c>
      <c r="C356" s="225" t="s">
        <v>120</v>
      </c>
      <c r="D356" s="118" t="s">
        <v>557</v>
      </c>
      <c r="I356" s="57"/>
    </row>
    <row r="357" spans="1:9" x14ac:dyDescent="0.2">
      <c r="A357" s="66" t="s">
        <v>117</v>
      </c>
      <c r="C357"/>
      <c r="I357" s="57"/>
    </row>
    <row r="358" spans="1:9" x14ac:dyDescent="0.2">
      <c r="A358" s="56" t="s">
        <v>64</v>
      </c>
      <c r="B358" s="110">
        <v>1.5</v>
      </c>
      <c r="C358" s="225" t="s">
        <v>120</v>
      </c>
      <c r="D358" s="118" t="s">
        <v>558</v>
      </c>
      <c r="I358" s="57"/>
    </row>
    <row r="359" spans="1:9" x14ac:dyDescent="0.2">
      <c r="A359" s="56" t="s">
        <v>149</v>
      </c>
      <c r="B359" s="59">
        <v>1</v>
      </c>
      <c r="C359" s="225" t="s">
        <v>120</v>
      </c>
      <c r="D359" s="118" t="s">
        <v>559</v>
      </c>
      <c r="I359" s="57"/>
    </row>
    <row r="360" spans="1:9" x14ac:dyDescent="0.2">
      <c r="A360" s="66" t="s">
        <v>66</v>
      </c>
      <c r="C360"/>
      <c r="I360" s="57"/>
    </row>
    <row r="361" spans="1:9" x14ac:dyDescent="0.2">
      <c r="A361" s="56" t="s">
        <v>66</v>
      </c>
      <c r="B361" s="67">
        <v>4.9999999999999998E-8</v>
      </c>
      <c r="C361" t="s">
        <v>163</v>
      </c>
      <c r="D361" t="s">
        <v>102</v>
      </c>
      <c r="G361" s="388" t="s">
        <v>614</v>
      </c>
      <c r="I361" s="57"/>
    </row>
    <row r="362" spans="1:9" x14ac:dyDescent="0.2">
      <c r="A362" s="66" t="s">
        <v>56</v>
      </c>
      <c r="C362"/>
      <c r="I362" s="57"/>
    </row>
    <row r="363" spans="1:9" x14ac:dyDescent="0.2">
      <c r="A363" s="56" t="s">
        <v>158</v>
      </c>
      <c r="B363" s="59">
        <v>3.0000000000000001E-3</v>
      </c>
      <c r="C363" t="s">
        <v>2</v>
      </c>
      <c r="D363" s="118" t="s">
        <v>913</v>
      </c>
      <c r="I363" s="57"/>
    </row>
    <row r="364" spans="1:9" x14ac:dyDescent="0.2">
      <c r="A364" s="56"/>
      <c r="C364"/>
      <c r="I364" s="57"/>
    </row>
    <row r="365" spans="1:9" x14ac:dyDescent="0.2">
      <c r="A365" s="66" t="s">
        <v>753</v>
      </c>
      <c r="B365" s="2" t="s">
        <v>772</v>
      </c>
      <c r="C365"/>
      <c r="D365" s="2" t="s">
        <v>773</v>
      </c>
      <c r="I365" s="57"/>
    </row>
    <row r="366" spans="1:9" x14ac:dyDescent="0.2">
      <c r="A366" s="223" t="s">
        <v>774</v>
      </c>
      <c r="B366" s="29">
        <f>'Design Converter'!E87/1000</f>
        <v>5.7000000000000002E-3</v>
      </c>
      <c r="C366" s="225" t="s">
        <v>120</v>
      </c>
      <c r="D366" s="29">
        <f>'Design Converter'!F87/1000</f>
        <v>5.7000000000000002E-3</v>
      </c>
      <c r="E366" s="225" t="s">
        <v>120</v>
      </c>
      <c r="F366" s="118" t="s">
        <v>760</v>
      </c>
      <c r="I366" s="57"/>
    </row>
    <row r="367" spans="1:9" x14ac:dyDescent="0.2">
      <c r="A367" s="56" t="s">
        <v>83</v>
      </c>
      <c r="B367" s="59">
        <f>4000/1000000</f>
        <v>4.0000000000000001E-3</v>
      </c>
      <c r="C367" s="118" t="s">
        <v>358</v>
      </c>
      <c r="E367" s="118"/>
      <c r="F367" s="118" t="s">
        <v>560</v>
      </c>
      <c r="I367" s="57"/>
    </row>
    <row r="368" spans="1:9" x14ac:dyDescent="0.2">
      <c r="A368" s="223" t="s">
        <v>132</v>
      </c>
      <c r="B368" s="72">
        <f>'Design Converter'!E88/1000000000</f>
        <v>1.0999999999999999E-8</v>
      </c>
      <c r="C368" t="s">
        <v>165</v>
      </c>
      <c r="D368" s="72">
        <f>'Design Converter'!F88/1000000000</f>
        <v>1.0999999999999999E-8</v>
      </c>
      <c r="E368" t="s">
        <v>165</v>
      </c>
      <c r="F368" s="118" t="s">
        <v>748</v>
      </c>
      <c r="I368" s="57"/>
    </row>
    <row r="369" spans="1:9" x14ac:dyDescent="0.2">
      <c r="A369" s="223" t="s">
        <v>775</v>
      </c>
      <c r="B369" s="72">
        <f>'Design Converter'!E89/1000000000</f>
        <v>2.8999999999999999E-9</v>
      </c>
      <c r="C369" t="s">
        <v>165</v>
      </c>
      <c r="D369" s="72">
        <f>'Design Converter'!F89/1000000000</f>
        <v>2.8999999999999999E-9</v>
      </c>
      <c r="E369" t="s">
        <v>165</v>
      </c>
      <c r="F369" t="s">
        <v>131</v>
      </c>
      <c r="I369" s="57"/>
    </row>
    <row r="370" spans="1:9" x14ac:dyDescent="0.2">
      <c r="A370" s="223" t="s">
        <v>776</v>
      </c>
      <c r="B370" s="72">
        <f>'Design Converter'!E90/1000000000</f>
        <v>3.2999999999999998E-9</v>
      </c>
      <c r="C370" t="s">
        <v>165</v>
      </c>
      <c r="D370" s="72">
        <f>'Design Converter'!F90/1000000000</f>
        <v>3.2999999999999998E-9</v>
      </c>
      <c r="E370" t="s">
        <v>165</v>
      </c>
      <c r="I370" s="57"/>
    </row>
    <row r="371" spans="1:9" x14ac:dyDescent="0.2">
      <c r="A371" s="223" t="s">
        <v>777</v>
      </c>
      <c r="B371" s="29">
        <f>'Design Converter'!E91</f>
        <v>1.5</v>
      </c>
      <c r="C371" s="225" t="s">
        <v>120</v>
      </c>
      <c r="D371" s="29">
        <f>'Design Converter'!F91</f>
        <v>1.5</v>
      </c>
      <c r="E371" s="225" t="s">
        <v>120</v>
      </c>
      <c r="F371" t="s">
        <v>104</v>
      </c>
      <c r="I371" s="57"/>
    </row>
    <row r="372" spans="1:9" x14ac:dyDescent="0.2">
      <c r="A372" s="223" t="s">
        <v>778</v>
      </c>
      <c r="B372" s="29">
        <f>'Design Converter'!E92</f>
        <v>60</v>
      </c>
      <c r="C372" t="s">
        <v>70</v>
      </c>
      <c r="D372" s="29">
        <f>'Design Converter'!F92</f>
        <v>60</v>
      </c>
      <c r="E372" t="s">
        <v>70</v>
      </c>
      <c r="F372" s="118" t="s">
        <v>759</v>
      </c>
      <c r="I372" s="57"/>
    </row>
    <row r="373" spans="1:9" x14ac:dyDescent="0.2">
      <c r="A373" s="223" t="s">
        <v>779</v>
      </c>
      <c r="B373" s="29">
        <f>'Design Converter'!E93</f>
        <v>4</v>
      </c>
      <c r="C373" t="s">
        <v>0</v>
      </c>
      <c r="D373" s="29">
        <f>'Design Converter'!F93</f>
        <v>4</v>
      </c>
      <c r="E373" t="s">
        <v>0</v>
      </c>
      <c r="F373" s="118" t="s">
        <v>761</v>
      </c>
      <c r="I373" s="57"/>
    </row>
    <row r="374" spans="1:9" x14ac:dyDescent="0.2">
      <c r="A374" s="223" t="s">
        <v>780</v>
      </c>
      <c r="B374" s="419">
        <f>Vth_Q1+Iout/Gfs_Q1</f>
        <v>4.2</v>
      </c>
      <c r="C374" t="s">
        <v>0</v>
      </c>
      <c r="D374" s="419">
        <f>Vth_Q2+Iout/Gfs_Q2</f>
        <v>4.2</v>
      </c>
      <c r="E374" t="s">
        <v>0</v>
      </c>
      <c r="F374" s="118" t="s">
        <v>762</v>
      </c>
      <c r="I374" s="57"/>
    </row>
    <row r="375" spans="1:9" x14ac:dyDescent="0.2">
      <c r="A375" s="56"/>
      <c r="C375"/>
      <c r="F375" s="118"/>
      <c r="I375" s="57"/>
    </row>
    <row r="376" spans="1:9" x14ac:dyDescent="0.2">
      <c r="A376" s="223" t="s">
        <v>783</v>
      </c>
      <c r="B376" s="29">
        <f>'Design Converter'!E94</f>
        <v>0.8</v>
      </c>
      <c r="C376" t="s">
        <v>0</v>
      </c>
      <c r="D376" s="29">
        <f>'Design Converter'!F94</f>
        <v>0.8</v>
      </c>
      <c r="E376" t="s">
        <v>0</v>
      </c>
      <c r="F376" s="118" t="s">
        <v>781</v>
      </c>
      <c r="I376" s="57"/>
    </row>
    <row r="377" spans="1:9" x14ac:dyDescent="0.2">
      <c r="A377" s="223" t="s">
        <v>707</v>
      </c>
      <c r="B377" s="72">
        <f>'Design Converter'!E95/1000000000</f>
        <v>0</v>
      </c>
      <c r="C377" t="s">
        <v>165</v>
      </c>
      <c r="D377" s="72">
        <f>'Design Converter'!F95/1000000000</f>
        <v>6.2999999999999995E-8</v>
      </c>
      <c r="E377" t="s">
        <v>165</v>
      </c>
      <c r="F377" t="s">
        <v>114</v>
      </c>
      <c r="I377" s="57"/>
    </row>
    <row r="378" spans="1:9" x14ac:dyDescent="0.2">
      <c r="A378" s="223" t="s">
        <v>708</v>
      </c>
      <c r="B378" s="72">
        <v>4.0000000000000001E-8</v>
      </c>
      <c r="C378" t="s">
        <v>163</v>
      </c>
      <c r="D378" s="72">
        <v>4.0000000000000001E-8</v>
      </c>
      <c r="E378" t="s">
        <v>163</v>
      </c>
      <c r="F378" t="s">
        <v>110</v>
      </c>
      <c r="I378" s="57"/>
    </row>
    <row r="379" spans="1:9" x14ac:dyDescent="0.2">
      <c r="A379" s="223" t="s">
        <v>918</v>
      </c>
      <c r="B379" s="29">
        <f>'Design Converter'!E96</f>
        <v>50</v>
      </c>
      <c r="C379" s="118" t="s">
        <v>241</v>
      </c>
      <c r="D379" s="29">
        <f>'Design Converter'!F96</f>
        <v>50</v>
      </c>
      <c r="E379" s="118" t="s">
        <v>241</v>
      </c>
      <c r="F379" t="s">
        <v>107</v>
      </c>
      <c r="I379" s="57"/>
    </row>
    <row r="380" spans="1:9" x14ac:dyDescent="0.2">
      <c r="A380" s="223"/>
      <c r="B380" s="29"/>
      <c r="C380" s="118"/>
      <c r="D380" s="29"/>
      <c r="E380" s="118"/>
      <c r="I380" s="57"/>
    </row>
    <row r="381" spans="1:9" x14ac:dyDescent="0.2">
      <c r="A381" s="223"/>
      <c r="B381" s="118"/>
      <c r="C381" s="118"/>
      <c r="D381" s="118"/>
      <c r="E381" s="118"/>
      <c r="I381" s="57"/>
    </row>
    <row r="382" spans="1:9" x14ac:dyDescent="0.2">
      <c r="A382" s="66" t="s">
        <v>752</v>
      </c>
      <c r="B382" s="2" t="s">
        <v>770</v>
      </c>
      <c r="C382"/>
      <c r="D382" s="2" t="s">
        <v>771</v>
      </c>
      <c r="I382" s="57"/>
    </row>
    <row r="383" spans="1:9" x14ac:dyDescent="0.2">
      <c r="A383" s="223" t="s">
        <v>774</v>
      </c>
      <c r="B383" s="29">
        <f>'Design Converter'!E100/1000</f>
        <v>1.9E-3</v>
      </c>
      <c r="C383" s="225" t="s">
        <v>120</v>
      </c>
      <c r="D383" s="29">
        <f>'Design Converter'!F100/1000</f>
        <v>1.9E-3</v>
      </c>
      <c r="E383" s="225" t="s">
        <v>120</v>
      </c>
      <c r="F383" s="118" t="s">
        <v>754</v>
      </c>
      <c r="I383" s="57"/>
    </row>
    <row r="384" spans="1:9" x14ac:dyDescent="0.2">
      <c r="A384" s="56" t="s">
        <v>84</v>
      </c>
      <c r="B384" s="336">
        <f>4000/1000000</f>
        <v>4.0000000000000001E-3</v>
      </c>
      <c r="C384" s="118" t="s">
        <v>358</v>
      </c>
      <c r="E384" s="118"/>
      <c r="F384" s="118" t="s">
        <v>560</v>
      </c>
      <c r="I384" s="57"/>
    </row>
    <row r="385" spans="1:9" x14ac:dyDescent="0.2">
      <c r="A385" s="223" t="s">
        <v>132</v>
      </c>
      <c r="B385" s="72">
        <f>'Design Converter'!E101/1000000000</f>
        <v>2.1999999999999998E-8</v>
      </c>
      <c r="C385" t="s">
        <v>165</v>
      </c>
      <c r="D385" s="72">
        <f>'Design Converter'!F101/1000000000</f>
        <v>2.1999999999999998E-8</v>
      </c>
      <c r="E385" t="s">
        <v>165</v>
      </c>
      <c r="F385" s="118" t="s">
        <v>755</v>
      </c>
      <c r="I385" s="57"/>
    </row>
    <row r="386" spans="1:9" x14ac:dyDescent="0.2">
      <c r="A386" s="223" t="s">
        <v>775</v>
      </c>
      <c r="B386" s="72">
        <f>'Design Converter'!E102/1000000000</f>
        <v>2.5000000000000001E-9</v>
      </c>
      <c r="C386" t="s">
        <v>165</v>
      </c>
      <c r="D386" s="72">
        <f>'Design Converter'!F102/1000000000</f>
        <v>2.5000000000000001E-9</v>
      </c>
      <c r="E386" t="s">
        <v>165</v>
      </c>
      <c r="F386" t="s">
        <v>131</v>
      </c>
      <c r="I386" s="57"/>
    </row>
    <row r="387" spans="1:9" x14ac:dyDescent="0.2">
      <c r="A387" s="223" t="s">
        <v>776</v>
      </c>
      <c r="B387" s="72">
        <f>'Design Converter'!E103/1000000000</f>
        <v>4.0000000000000002E-9</v>
      </c>
      <c r="C387" t="s">
        <v>165</v>
      </c>
      <c r="D387" s="72">
        <f>'Design Converter'!F103/1000000000</f>
        <v>4.0000000000000002E-9</v>
      </c>
      <c r="E387" t="s">
        <v>165</v>
      </c>
      <c r="I387" s="57"/>
    </row>
    <row r="388" spans="1:9" x14ac:dyDescent="0.2">
      <c r="A388" s="223" t="s">
        <v>777</v>
      </c>
      <c r="B388" s="29">
        <v>1</v>
      </c>
      <c r="C388" s="225" t="s">
        <v>120</v>
      </c>
      <c r="D388" s="29">
        <v>1</v>
      </c>
      <c r="E388" s="225" t="s">
        <v>120</v>
      </c>
      <c r="F388" t="s">
        <v>104</v>
      </c>
      <c r="I388" s="57"/>
    </row>
    <row r="389" spans="1:9" x14ac:dyDescent="0.2">
      <c r="A389" s="223" t="s">
        <v>778</v>
      </c>
      <c r="B389" s="29">
        <f>'Design Converter'!E105</f>
        <v>150</v>
      </c>
      <c r="C389" t="s">
        <v>70</v>
      </c>
      <c r="D389" s="29">
        <f>'Design Converter'!F105</f>
        <v>150</v>
      </c>
      <c r="E389" t="s">
        <v>70</v>
      </c>
      <c r="F389" s="118" t="s">
        <v>756</v>
      </c>
      <c r="I389" s="57"/>
    </row>
    <row r="390" spans="1:9" x14ac:dyDescent="0.2">
      <c r="A390" s="223" t="s">
        <v>779</v>
      </c>
      <c r="B390" s="29">
        <f>'Design Converter'!E106</f>
        <v>2</v>
      </c>
      <c r="C390" t="s">
        <v>0</v>
      </c>
      <c r="D390" s="29">
        <f>'Design Converter'!F106</f>
        <v>2</v>
      </c>
      <c r="E390" t="s">
        <v>0</v>
      </c>
      <c r="F390" s="118" t="s">
        <v>757</v>
      </c>
      <c r="I390" s="57"/>
    </row>
    <row r="391" spans="1:9" x14ac:dyDescent="0.2">
      <c r="A391" s="223" t="s">
        <v>780</v>
      </c>
      <c r="B391" s="419">
        <f>Vth_Q3+Iin_Vinnom/Gfs_Q3</f>
        <v>2.088888888888889</v>
      </c>
      <c r="C391" t="s">
        <v>0</v>
      </c>
      <c r="D391" s="419">
        <f>Vth_Q4+Iin_Vinnom/Gfs_Q4</f>
        <v>2.088888888888889</v>
      </c>
      <c r="E391" t="s">
        <v>0</v>
      </c>
      <c r="F391" s="118" t="s">
        <v>758</v>
      </c>
      <c r="I391" s="57"/>
    </row>
    <row r="392" spans="1:9" x14ac:dyDescent="0.2">
      <c r="E392" s="2"/>
      <c r="I392" s="57"/>
    </row>
    <row r="393" spans="1:9" x14ac:dyDescent="0.2">
      <c r="A393" s="223" t="s">
        <v>782</v>
      </c>
      <c r="B393" s="29">
        <f>'Design Converter'!E107</f>
        <v>0.8</v>
      </c>
      <c r="C393" t="s">
        <v>0</v>
      </c>
      <c r="D393" s="29">
        <f>'Design Converter'!F107</f>
        <v>0.8</v>
      </c>
      <c r="E393" t="s">
        <v>0</v>
      </c>
      <c r="F393" s="118" t="s">
        <v>561</v>
      </c>
      <c r="I393" s="57"/>
    </row>
    <row r="394" spans="1:9" x14ac:dyDescent="0.2">
      <c r="A394" s="56" t="s">
        <v>77</v>
      </c>
      <c r="B394" s="72">
        <f>'Design Converter'!E108/1000000000</f>
        <v>3.2999999999999998E-8</v>
      </c>
      <c r="C394" t="s">
        <v>165</v>
      </c>
      <c r="D394" s="72">
        <f>'Design Converter'!F108/1000000000</f>
        <v>0</v>
      </c>
      <c r="E394" t="s">
        <v>165</v>
      </c>
      <c r="F394" t="s">
        <v>114</v>
      </c>
      <c r="I394" s="57"/>
    </row>
    <row r="395" spans="1:9" x14ac:dyDescent="0.2">
      <c r="A395" s="56" t="s">
        <v>78</v>
      </c>
      <c r="B395" s="72">
        <v>4.0000000000000001E-8</v>
      </c>
      <c r="C395" t="s">
        <v>163</v>
      </c>
      <c r="D395" s="72">
        <v>4.0000000000000001E-8</v>
      </c>
      <c r="E395" t="s">
        <v>163</v>
      </c>
      <c r="F395" t="s">
        <v>110</v>
      </c>
      <c r="I395" s="57"/>
    </row>
    <row r="396" spans="1:9" x14ac:dyDescent="0.2">
      <c r="A396" s="223" t="s">
        <v>919</v>
      </c>
      <c r="B396" s="29">
        <f>'Design Converter'!E109</f>
        <v>50</v>
      </c>
      <c r="C396" s="118" t="s">
        <v>241</v>
      </c>
      <c r="D396" s="29">
        <f>'Design Converter'!F109</f>
        <v>50</v>
      </c>
      <c r="E396" s="118" t="s">
        <v>241</v>
      </c>
      <c r="F396" t="s">
        <v>107</v>
      </c>
      <c r="I396" s="57"/>
    </row>
    <row r="397" spans="1:9" x14ac:dyDescent="0.2">
      <c r="A397" s="223"/>
      <c r="B397" s="29"/>
      <c r="C397" s="118"/>
      <c r="D397" s="29"/>
      <c r="E397" s="118"/>
      <c r="I397" s="57"/>
    </row>
    <row r="398" spans="1:9" x14ac:dyDescent="0.2">
      <c r="A398" s="66" t="s">
        <v>751</v>
      </c>
      <c r="B398" s="531" t="s">
        <v>750</v>
      </c>
      <c r="D398" s="531" t="s">
        <v>749</v>
      </c>
      <c r="I398" s="57"/>
    </row>
    <row r="399" spans="1:9" x14ac:dyDescent="0.2">
      <c r="A399" s="56" t="s">
        <v>231</v>
      </c>
      <c r="B399" s="29">
        <f>'Design Converter'!E112</f>
        <v>0</v>
      </c>
      <c r="C399" t="s">
        <v>0</v>
      </c>
      <c r="D399" s="29">
        <f>'Design Converter'!F112</f>
        <v>0</v>
      </c>
      <c r="E399" t="s">
        <v>0</v>
      </c>
      <c r="F399" t="s">
        <v>234</v>
      </c>
      <c r="I399" s="57"/>
    </row>
    <row r="400" spans="1:9" x14ac:dyDescent="0.2">
      <c r="A400" s="56" t="s">
        <v>232</v>
      </c>
      <c r="B400" s="72">
        <f>'Design Converter'!E113/1000000000</f>
        <v>0</v>
      </c>
      <c r="C400" t="s">
        <v>165</v>
      </c>
      <c r="D400" s="72">
        <f>'Design Converter'!F113/1000000000</f>
        <v>0</v>
      </c>
      <c r="E400" t="s">
        <v>165</v>
      </c>
      <c r="F400" t="s">
        <v>235</v>
      </c>
      <c r="I400" s="57"/>
    </row>
    <row r="401" spans="1:9" x14ac:dyDescent="0.2">
      <c r="A401" s="56" t="s">
        <v>233</v>
      </c>
      <c r="B401" s="29">
        <v>0</v>
      </c>
      <c r="C401" t="s">
        <v>2</v>
      </c>
      <c r="D401" s="29">
        <v>0</v>
      </c>
      <c r="E401" t="s">
        <v>2</v>
      </c>
      <c r="F401" t="s">
        <v>236</v>
      </c>
      <c r="I401" s="57"/>
    </row>
    <row r="402" spans="1:9" x14ac:dyDescent="0.2">
      <c r="A402" s="56"/>
      <c r="C402"/>
      <c r="I402" s="57"/>
    </row>
    <row r="403" spans="1:9" x14ac:dyDescent="0.2">
      <c r="A403" s="66" t="s">
        <v>121</v>
      </c>
      <c r="C403"/>
      <c r="I403" s="57"/>
    </row>
    <row r="404" spans="1:9" x14ac:dyDescent="0.2">
      <c r="A404" s="223" t="s">
        <v>681</v>
      </c>
      <c r="B404" s="29">
        <v>30.5</v>
      </c>
      <c r="C404" s="118" t="s">
        <v>241</v>
      </c>
      <c r="D404" s="118"/>
      <c r="E404" s="118"/>
      <c r="F404" t="s">
        <v>685</v>
      </c>
      <c r="I404" s="57"/>
    </row>
    <row r="405" spans="1:9" x14ac:dyDescent="0.2">
      <c r="A405" s="66" t="s">
        <v>81</v>
      </c>
      <c r="C405"/>
      <c r="I405" s="57"/>
    </row>
    <row r="406" spans="1:9" x14ac:dyDescent="0.2">
      <c r="A406" s="223" t="s">
        <v>63</v>
      </c>
      <c r="C406"/>
      <c r="I406" s="57"/>
    </row>
    <row r="407" spans="1:9" x14ac:dyDescent="0.2">
      <c r="A407" s="56" t="s">
        <v>92</v>
      </c>
      <c r="B407" s="69">
        <f>(Qgd_Q1+Qgs_Q1/2)*(RdsonDRT+Rgate1)/(Vdd-Vsp_Q1)</f>
        <v>4.1363636363636363E-9</v>
      </c>
      <c r="C407" t="s">
        <v>163</v>
      </c>
      <c r="D407" s="69">
        <f>(Qgd_Q4+Qgs_Q4/2)*(RdsonDRT+Rgate4)/(Vdd-Vsp_Q4)</f>
        <v>2.0790554414784398E-9</v>
      </c>
      <c r="E407" t="s">
        <v>163</v>
      </c>
      <c r="I407" s="57"/>
    </row>
    <row r="408" spans="1:9" x14ac:dyDescent="0.2">
      <c r="A408" s="56" t="s">
        <v>93</v>
      </c>
      <c r="B408" s="69">
        <f>(Qgd_Q1+Qgs_Q1/2)*(RdsonDRT2+Rgate1)/(Vsp_Q1)</f>
        <v>2.7083333333333328E-9</v>
      </c>
      <c r="C408" t="s">
        <v>163</v>
      </c>
      <c r="D408" s="69">
        <f>(Qgd_Q4+Qgs_Q4/2)*(RdsonDRT2+Rgate4)/(Vsp_Q4)</f>
        <v>4.3085106382978728E-9</v>
      </c>
      <c r="E408" t="s">
        <v>163</v>
      </c>
      <c r="I408" s="57"/>
    </row>
    <row r="409" spans="1:9" x14ac:dyDescent="0.2">
      <c r="A409" s="56"/>
      <c r="C409"/>
      <c r="I409" s="57"/>
    </row>
    <row r="410" spans="1:9" x14ac:dyDescent="0.2">
      <c r="A410" s="66" t="s">
        <v>572</v>
      </c>
      <c r="B410" s="2" t="s">
        <v>8</v>
      </c>
      <c r="C410" s="2" t="s">
        <v>80</v>
      </c>
      <c r="I410" s="57"/>
    </row>
    <row r="411" spans="1:9" x14ac:dyDescent="0.2">
      <c r="A411" s="58" t="s">
        <v>119</v>
      </c>
      <c r="B411" s="3" t="e">
        <f>#REF!</f>
        <v>#REF!</v>
      </c>
      <c r="C411" s="3" t="s">
        <v>120</v>
      </c>
      <c r="I411" s="57"/>
    </row>
    <row r="412" spans="1:9" x14ac:dyDescent="0.2">
      <c r="A412" s="58" t="s">
        <v>123</v>
      </c>
      <c r="B412" s="42" t="e">
        <f>B411*ThetaJaCtrl</f>
        <v>#REF!</v>
      </c>
      <c r="C412" s="118" t="s">
        <v>282</v>
      </c>
      <c r="I412" s="57"/>
    </row>
    <row r="413" spans="1:9" x14ac:dyDescent="0.2">
      <c r="A413" s="58" t="s">
        <v>246</v>
      </c>
      <c r="B413" s="42">
        <f>(Qg_Q1+Qg_Q2)*Fsw+Iq</f>
        <v>8.5000000000000006E-3</v>
      </c>
      <c r="C413" t="s">
        <v>2</v>
      </c>
      <c r="I413" s="57"/>
    </row>
    <row r="414" spans="1:9" x14ac:dyDescent="0.2">
      <c r="A414" s="58" t="s">
        <v>247</v>
      </c>
      <c r="B414">
        <f>Qrr_Q2*Fsw</f>
        <v>1.575E-2</v>
      </c>
      <c r="C414" t="s">
        <v>2</v>
      </c>
      <c r="I414" s="57"/>
    </row>
    <row r="415" spans="1:9" x14ac:dyDescent="0.2">
      <c r="A415" s="58" t="s">
        <v>248</v>
      </c>
      <c r="B415" t="e">
        <f>C415/Vin</f>
        <v>#NAME?</v>
      </c>
      <c r="C415" t="e">
        <f>Deadtime*Fsw*(Ipp/2)*(Vsd_Q1+Vsd_Q2)</f>
        <v>#NAME?</v>
      </c>
      <c r="I415" s="57"/>
    </row>
    <row r="416" spans="1:9" x14ac:dyDescent="0.2">
      <c r="A416" s="58" t="s">
        <v>250</v>
      </c>
      <c r="B416" t="e">
        <f>SUM(B413:B415)</f>
        <v>#NAME?</v>
      </c>
      <c r="C416" t="s">
        <v>2</v>
      </c>
      <c r="I416" s="57"/>
    </row>
    <row r="417" spans="1:9" x14ac:dyDescent="0.2">
      <c r="A417" s="56"/>
      <c r="I417" s="57"/>
    </row>
    <row r="418" spans="1:9" x14ac:dyDescent="0.2">
      <c r="A418" s="66" t="s">
        <v>615</v>
      </c>
      <c r="I418" s="57"/>
    </row>
    <row r="419" spans="1:9" x14ac:dyDescent="0.2">
      <c r="A419" s="56" t="s">
        <v>118</v>
      </c>
      <c r="I419" s="57"/>
    </row>
    <row r="420" spans="1:9" ht="13.5" thickBot="1" x14ac:dyDescent="0.25">
      <c r="A420" s="60" t="s">
        <v>119</v>
      </c>
      <c r="B420" s="61"/>
      <c r="C420" s="318"/>
      <c r="D420" s="61"/>
      <c r="E420" s="61"/>
      <c r="F420" s="61"/>
      <c r="G420" s="61"/>
      <c r="H420" s="61"/>
      <c r="I420" s="62"/>
    </row>
    <row r="421" spans="1:9" x14ac:dyDescent="0.2">
      <c r="A421" s="1"/>
      <c r="B421" s="1"/>
      <c r="C421" s="1"/>
    </row>
    <row r="422" spans="1:9" ht="21.75" customHeight="1" thickBot="1" x14ac:dyDescent="0.3">
      <c r="A422" s="92" t="s">
        <v>242</v>
      </c>
    </row>
    <row r="423" spans="1:9" x14ac:dyDescent="0.2">
      <c r="A423" s="93" t="str">
        <f>"RC1 = "&amp;'Design Converter'!D78&amp;"kΩ"</f>
        <v>RC1 = 6.19kΩ</v>
      </c>
      <c r="B423" s="63" t="str">
        <f>'Design Converter'!D78&amp;"kΩ"</f>
        <v>6.19kΩ</v>
      </c>
      <c r="C423" s="317"/>
      <c r="D423" s="63"/>
      <c r="E423" s="63"/>
      <c r="F423" s="63"/>
      <c r="G423" s="63"/>
      <c r="H423" s="63"/>
      <c r="I423" s="64"/>
    </row>
    <row r="424" spans="1:9" x14ac:dyDescent="0.2">
      <c r="A424" s="56" t="str">
        <f>"RUV1 = "&amp;'Design Converter'!E64&amp;"kΩ"</f>
        <v>RUV1 = 249kΩ</v>
      </c>
      <c r="B424" t="str">
        <f>'Design Converter'!E64&amp;"kΩ"</f>
        <v>249kΩ</v>
      </c>
      <c r="I424" s="57"/>
    </row>
    <row r="425" spans="1:9" x14ac:dyDescent="0.2">
      <c r="A425" s="56" t="str">
        <f>"RUV2 = "&amp;'Design Converter'!E65&amp;"kΩ"</f>
        <v>RUV2 = 57.6kΩ</v>
      </c>
      <c r="B425" t="str">
        <f>'Design Converter'!E65&amp;"kΩ"</f>
        <v>57.6kΩ</v>
      </c>
      <c r="I425" s="57"/>
    </row>
    <row r="426" spans="1:9" x14ac:dyDescent="0.2">
      <c r="A426" s="56" t="str">
        <f>"LF = "&amp;'Design Converter'!E16&amp;"µH"</f>
        <v>LF = 4.7µH</v>
      </c>
      <c r="B426" t="str">
        <f>'Design Converter'!E16&amp;"µH"</f>
        <v>4.7µH</v>
      </c>
      <c r="I426" s="57"/>
    </row>
    <row r="427" spans="1:9" x14ac:dyDescent="0.2">
      <c r="A427" s="56" t="str">
        <f>"Rdcr = "&amp;Rdcr*1000&amp;"mΩ"</f>
        <v>Rdcr = 3.35mΩ</v>
      </c>
      <c r="B427" t="str">
        <f>Rdcr*1000&amp;"mΩ"</f>
        <v>3.35mΩ</v>
      </c>
      <c r="I427" s="57"/>
    </row>
    <row r="428" spans="1:9" x14ac:dyDescent="0.2">
      <c r="A428" s="56" t="str">
        <f>"Rs = "&amp;'Design Converter'!E28&amp;"mΩ"</f>
        <v>Rs = 4mΩ</v>
      </c>
      <c r="B428" t="str">
        <f>'Design Converter'!E28&amp;"mΩ"</f>
        <v>4mΩ</v>
      </c>
      <c r="I428" s="57"/>
    </row>
    <row r="429" spans="1:9" x14ac:dyDescent="0.2">
      <c r="A429" s="56" t="str">
        <f>"Rshunt = "&amp;ROUND('Design Converter'!E37,1)&amp;"mΩ"</f>
        <v>Rshunt = 4.2mΩ</v>
      </c>
      <c r="B429" t="str">
        <f>ROUND('Design Converter'!E37,1)&amp;"mΩ"</f>
        <v>4.2mΩ</v>
      </c>
      <c r="I429" s="57"/>
    </row>
    <row r="430" spans="1:9" x14ac:dyDescent="0.2">
      <c r="A430" s="56"/>
      <c r="I430" s="57"/>
    </row>
    <row r="431" spans="1:9" x14ac:dyDescent="0.2">
      <c r="A431" s="56" t="str">
        <f>"VOUT = "&amp;'Design Converter'!E9&amp;"V"</f>
        <v>VOUT = 12V</v>
      </c>
      <c r="B431" t="str">
        <f>'Design Converter'!E9&amp;"V"</f>
        <v>12V</v>
      </c>
      <c r="I431" s="57"/>
    </row>
    <row r="432" spans="1:9" x14ac:dyDescent="0.2">
      <c r="A432" s="56"/>
      <c r="I432" s="57"/>
    </row>
    <row r="433" spans="1:9" x14ac:dyDescent="0.2">
      <c r="A433" s="56" t="str">
        <f>"COUT = "&amp;'Design Converter'!$E$42&amp;"µF"</f>
        <v>COUT = 600µF</v>
      </c>
      <c r="B433" t="str">
        <f>'Design Converter'!$E$42&amp;"µF"</f>
        <v>600µF</v>
      </c>
      <c r="I433" s="57"/>
    </row>
    <row r="434" spans="1:9" x14ac:dyDescent="0.2">
      <c r="A434" s="223" t="s">
        <v>344</v>
      </c>
      <c r="B434" t="str">
        <f>"22µF"</f>
        <v>22µF</v>
      </c>
      <c r="I434" s="57"/>
    </row>
    <row r="435" spans="1:9" x14ac:dyDescent="0.2">
      <c r="A435" s="223" t="s">
        <v>345</v>
      </c>
      <c r="B435" s="120" t="str">
        <f>ROUNDUP(Cout*1000000/22,0)&amp;" x"</f>
        <v>28 x</v>
      </c>
      <c r="C435" s="319"/>
      <c r="I435" s="57"/>
    </row>
    <row r="436" spans="1:9" x14ac:dyDescent="0.2">
      <c r="A436" s="56"/>
      <c r="I436" s="57"/>
    </row>
    <row r="437" spans="1:9" x14ac:dyDescent="0.2">
      <c r="A437" s="56" t="s">
        <v>267</v>
      </c>
      <c r="B437" t="str">
        <f>Cin*1000000&amp;"µF"</f>
        <v>100µF</v>
      </c>
      <c r="I437" s="57"/>
    </row>
    <row r="438" spans="1:9" x14ac:dyDescent="0.2">
      <c r="A438" s="223" t="s">
        <v>343</v>
      </c>
      <c r="B438" t="str">
        <f>"10µF"</f>
        <v>10µF</v>
      </c>
      <c r="I438" s="57"/>
    </row>
    <row r="439" spans="1:9" x14ac:dyDescent="0.2">
      <c r="A439" s="223" t="s">
        <v>342</v>
      </c>
      <c r="B439" s="120" t="str">
        <f>ROUNDUP(Cin*1000000/10,0)&amp;" x"</f>
        <v>10 x</v>
      </c>
      <c r="C439" s="319"/>
      <c r="I439" s="57"/>
    </row>
    <row r="440" spans="1:9" x14ac:dyDescent="0.2">
      <c r="A440" s="223"/>
      <c r="B440" s="120"/>
      <c r="C440" s="319"/>
      <c r="I440" s="57"/>
    </row>
    <row r="441" spans="1:9" x14ac:dyDescent="0.2">
      <c r="A441" s="56" t="str">
        <f>"RC1 = "&amp;Rcea1_u/1000&amp;"kΩ"</f>
        <v>RC1 = 6.19kΩ</v>
      </c>
      <c r="B441" t="str">
        <f>ROUND(Rcea1_u/1000,2)&amp;"kΩ"</f>
        <v>6.19kΩ</v>
      </c>
      <c r="I441" s="57"/>
    </row>
    <row r="442" spans="1:9" x14ac:dyDescent="0.2">
      <c r="A442" s="56" t="str">
        <f>"CC1 = "&amp;Cc1ea_u*10^9&amp;"nF"</f>
        <v>CC1 = 33nF</v>
      </c>
      <c r="B442" t="str">
        <f>Cc1ea_u*10^9&amp;"nF"</f>
        <v>33nF</v>
      </c>
      <c r="I442" s="57"/>
    </row>
    <row r="443" spans="1:9" x14ac:dyDescent="0.2">
      <c r="A443" s="56" t="str">
        <f>"CC2 = "&amp;IF(Cc2ea_u&gt;0, Cc2ea_u*10^12&amp;"pF", "OPEN")</f>
        <v>CC2 = 1000pF</v>
      </c>
      <c r="B443" t="str">
        <f>IF(Cc2ea_u&gt;0, ROUND(Cc2ea_u*10^12,1)&amp;"pF", "N/A")</f>
        <v>1000pF</v>
      </c>
      <c r="I443" s="57"/>
    </row>
    <row r="444" spans="1:9" x14ac:dyDescent="0.2">
      <c r="A444" s="56"/>
      <c r="I444" s="57"/>
    </row>
    <row r="445" spans="1:9" x14ac:dyDescent="0.2">
      <c r="A445" s="56" t="str">
        <f>"gm = "&amp;$B$239*1000&amp;"mS"</f>
        <v>gm = 1.27mS</v>
      </c>
      <c r="B445" t="str">
        <f>$B$239*1000&amp;"mS"</f>
        <v>1.27mS</v>
      </c>
      <c r="I445" s="57"/>
    </row>
    <row r="446" spans="1:9" x14ac:dyDescent="0.2">
      <c r="A446" s="56" t="str">
        <f>"RoEA = "&amp;RoEA/1000000&amp;"MΩ"</f>
        <v>RoEA = 20MΩ</v>
      </c>
      <c r="B446" t="str">
        <f>RoEA/1000000&amp;"MΩ"</f>
        <v>20MΩ</v>
      </c>
      <c r="I446" s="57"/>
    </row>
    <row r="447" spans="1:9" x14ac:dyDescent="0.2">
      <c r="A447" s="56" t="str">
        <f>"GBW = "&amp;GBW&amp;"MHz"</f>
        <v>GBW = 8MHz</v>
      </c>
      <c r="B447" t="str">
        <f>GBW&amp;"MHz"</f>
        <v>8MHz</v>
      </c>
      <c r="I447" s="57"/>
    </row>
    <row r="448" spans="1:9" x14ac:dyDescent="0.2">
      <c r="A448" s="56"/>
      <c r="I448" s="57"/>
    </row>
    <row r="449" spans="1:9" x14ac:dyDescent="0.2">
      <c r="A449" s="56" t="str">
        <f>"Cslope = "&amp;Cslope&amp;"pF"</f>
        <v>Cslope = 270pF</v>
      </c>
      <c r="B449" t="str">
        <f>ROUND(Cslope*1,0)&amp;"pF"</f>
        <v>270pF</v>
      </c>
      <c r="I449" s="57"/>
    </row>
    <row r="450" spans="1:9" x14ac:dyDescent="0.2">
      <c r="A450" s="56" t="str">
        <f>IF(DITHER=1, "Cdither = "&amp;Cdither*1000000000&amp;"nF", "")</f>
        <v/>
      </c>
      <c r="B450" t="str">
        <f>IF(DITHER=1, ROUND(Cdither*1000000000,0)&amp;"nF", "")</f>
        <v/>
      </c>
      <c r="C450" s="2" t="str">
        <f>IF(DITHER=1, "Cd", "")</f>
        <v/>
      </c>
      <c r="I450" s="57"/>
    </row>
    <row r="451" spans="1:9" x14ac:dyDescent="0.2">
      <c r="A451" s="56" t="str">
        <f>"RFB1 = "&amp;'Design Converter'!E73&amp;"kΩ"</f>
        <v>RFB1 = 280kΩ</v>
      </c>
      <c r="B451" t="str">
        <f>'Design Converter'!E73&amp;"kΩ"</f>
        <v>280kΩ</v>
      </c>
      <c r="I451" s="57"/>
    </row>
    <row r="452" spans="1:9" x14ac:dyDescent="0.2">
      <c r="A452" s="56" t="str">
        <f>"RFB2 = "&amp;IF(Vout=Vref,"OPEN",'Design Converter'!E74&amp;"kΩ")</f>
        <v>RFB2 = 20kΩ</v>
      </c>
      <c r="B452" t="str">
        <f>IF(Vout=Vref,"OPEN",Rfb2_u/1000&amp;"kΩ")</f>
        <v>20kΩ</v>
      </c>
      <c r="I452" s="57"/>
    </row>
    <row r="453" spans="1:9" x14ac:dyDescent="0.2">
      <c r="A453" s="56" t="str">
        <f>"Crossover Frequency = "&amp;ROUND('Stability Calculations'!Q4,1)&amp;" kHz"</f>
        <v>Crossover Frequency = 6.8 kHz</v>
      </c>
      <c r="B453" t="str">
        <f>ROUND('Stability Calculations'!Q4,1)&amp;" kHz"</f>
        <v>6.8 kHz</v>
      </c>
      <c r="D453" s="119">
        <f>'Stability Calculations'!Q4</f>
        <v>6.7608000000000006</v>
      </c>
      <c r="I453" s="57"/>
    </row>
    <row r="454" spans="1:9" x14ac:dyDescent="0.2">
      <c r="A454" s="56" t="str">
        <f>"Phase Margin = "&amp;ROUND('Stability Calculations'!Q5,0)&amp;"°"</f>
        <v>Phase Margin = 58°</v>
      </c>
      <c r="B454" s="120" t="str">
        <f>ROUND('Stability Calculations'!Q5,0)&amp;"°"</f>
        <v>58°</v>
      </c>
      <c r="C454" s="319"/>
      <c r="E454" s="225"/>
      <c r="I454" s="57"/>
    </row>
    <row r="455" spans="1:9" x14ac:dyDescent="0.2">
      <c r="A455" s="56"/>
      <c r="B455" s="120"/>
      <c r="C455" s="319"/>
      <c r="E455" s="225"/>
      <c r="I455" s="57"/>
    </row>
    <row r="456" spans="1:9" x14ac:dyDescent="0.2">
      <c r="A456" s="66" t="s">
        <v>917</v>
      </c>
      <c r="B456" s="540" t="str">
        <f>IF(PLOT_TYPE=1, "", ROUND('Efficiency vs VIN Calculations'!BH9,1)&amp;"%")</f>
        <v/>
      </c>
      <c r="C456" s="319"/>
      <c r="E456" s="225"/>
      <c r="I456" s="57"/>
    </row>
    <row r="457" spans="1:9" x14ac:dyDescent="0.2">
      <c r="A457" s="66" t="s">
        <v>915</v>
      </c>
      <c r="B457" s="540" t="str">
        <f>IF(PLOT_TYPE=1, ROUND('Efficiency vs Load Calculations'!BH109,1)&amp;"%", ROUND('Efficiency vs VIN Calculations'!BH209,1)&amp;"%")</f>
        <v>97.8%</v>
      </c>
      <c r="C457" s="319"/>
      <c r="E457" s="225"/>
      <c r="I457" s="57"/>
    </row>
    <row r="458" spans="1:9" x14ac:dyDescent="0.2">
      <c r="A458" s="66" t="s">
        <v>916</v>
      </c>
      <c r="B458" s="540" t="str">
        <f>IF(PLOT_TYPE=1, ROUND('Efficiency vs Load Calculations'!BH59,1)&amp;"%", ROUND('Efficiency vs VIN Calculations'!BH109,1)&amp;"%")</f>
        <v>98%</v>
      </c>
      <c r="C458" s="319"/>
      <c r="E458" s="225"/>
      <c r="I458" s="57"/>
    </row>
    <row r="459" spans="1:9" x14ac:dyDescent="0.2">
      <c r="A459" s="56"/>
      <c r="B459" s="120"/>
      <c r="C459" s="319"/>
      <c r="E459" s="225"/>
      <c r="I459" s="57"/>
    </row>
    <row r="460" spans="1:9" x14ac:dyDescent="0.2">
      <c r="A460" s="56" t="str">
        <f>"CDITH = "&amp;Cdither*1000000000&amp;"nF"</f>
        <v>CDITH = 39nF</v>
      </c>
      <c r="B460" t="str">
        <f>Cdither*1000000000&amp;"nF"</f>
        <v>39nF</v>
      </c>
      <c r="I460" s="57"/>
    </row>
    <row r="461" spans="1:9" x14ac:dyDescent="0.2">
      <c r="A461" s="56" t="str">
        <f>"Rs = "&amp;Rs&amp;"Ω"</f>
        <v>Rs = 0.004Ω</v>
      </c>
      <c r="B461" t="str">
        <f>'Standard Value Calculator'!O6&amp;"Ω"</f>
        <v>4.12Ω</v>
      </c>
      <c r="I461" s="57"/>
    </row>
    <row r="462" spans="1:9" x14ac:dyDescent="0.2">
      <c r="A462" s="56" t="s">
        <v>225</v>
      </c>
      <c r="B462" t="str">
        <f>'Standard Value Calculator'!O13&amp;"mΩ"</f>
        <v>4.32mΩ</v>
      </c>
      <c r="I462" s="57"/>
    </row>
    <row r="463" spans="1:9" x14ac:dyDescent="0.2">
      <c r="A463" s="56" t="s">
        <v>200</v>
      </c>
      <c r="B463" t="str">
        <f>'Standard Value Calculator'!O6&amp;"mΩ"</f>
        <v>4.12mΩ</v>
      </c>
      <c r="I463" s="57"/>
    </row>
    <row r="464" spans="1:9" x14ac:dyDescent="0.2">
      <c r="A464" s="56" t="str">
        <f>"Rshunt = "&amp;ROUND(Rshunt,1)&amp;"mΩ"</f>
        <v>Rshunt = 4.2mΩ</v>
      </c>
      <c r="B464" t="str">
        <f>IF(Rshunt="0", "N/A",ROUND(Rshunt,1)&amp;"mΩ")</f>
        <v>4.2mΩ</v>
      </c>
      <c r="I464" s="57"/>
    </row>
    <row r="465" spans="1:9" x14ac:dyDescent="0.2">
      <c r="A465" s="56"/>
      <c r="I465" s="57"/>
    </row>
    <row r="466" spans="1:9" x14ac:dyDescent="0.2">
      <c r="A466" s="223" t="s">
        <v>338</v>
      </c>
      <c r="B466" s="118" t="s">
        <v>339</v>
      </c>
      <c r="I466" s="57"/>
    </row>
    <row r="467" spans="1:9" x14ac:dyDescent="0.2">
      <c r="A467" s="223"/>
      <c r="B467" s="118"/>
      <c r="I467" s="57"/>
    </row>
    <row r="468" spans="1:9" x14ac:dyDescent="0.2">
      <c r="A468" s="223"/>
      <c r="B468" s="118"/>
      <c r="I468" s="57"/>
    </row>
    <row r="469" spans="1:9" x14ac:dyDescent="0.2">
      <c r="A469" s="223" t="s">
        <v>359</v>
      </c>
      <c r="B469" t="str">
        <f>'Standard Value Calculator'!O4/1000&amp;"kΩ"</f>
        <v>33.2kΩ</v>
      </c>
      <c r="I469" s="57"/>
    </row>
    <row r="470" spans="1:9" x14ac:dyDescent="0.2">
      <c r="A470" s="56" t="s">
        <v>183</v>
      </c>
      <c r="B470" t="str">
        <f>'Standard Value Calculator'!B4*1000000000 &amp;"nF"</f>
        <v>100nF</v>
      </c>
      <c r="I470" s="57"/>
    </row>
    <row r="471" spans="1:9" x14ac:dyDescent="0.2">
      <c r="A471" s="223" t="s">
        <v>438</v>
      </c>
      <c r="B471" s="118" t="str">
        <f>Cslope &amp;"pF"</f>
        <v>270pF</v>
      </c>
      <c r="I471" s="57"/>
    </row>
    <row r="472" spans="1:9" x14ac:dyDescent="0.2">
      <c r="A472" s="56" t="s">
        <v>226</v>
      </c>
      <c r="B472" t="str">
        <f>IF(B99="y","","|")</f>
        <v>|</v>
      </c>
      <c r="I472" s="57"/>
    </row>
    <row r="473" spans="1:9" x14ac:dyDescent="0.2">
      <c r="A473" s="56" t="s">
        <v>243</v>
      </c>
      <c r="B473" t="str">
        <f>'Design Converter'!$E$10&amp;"A"</f>
        <v>12A</v>
      </c>
      <c r="I473" s="57"/>
    </row>
    <row r="474" spans="1:9" x14ac:dyDescent="0.2">
      <c r="A474" s="56" t="s">
        <v>175</v>
      </c>
      <c r="B474" t="str">
        <f>VIN_nom&amp;"V"</f>
        <v>12V</v>
      </c>
      <c r="I474" s="57"/>
    </row>
    <row r="475" spans="1:9" x14ac:dyDescent="0.2">
      <c r="A475" s="223" t="s">
        <v>933</v>
      </c>
      <c r="B475" t="str">
        <f>VIN_min&amp;"V"&amp;"..."&amp;VIN_max&amp;"V"</f>
        <v>6V...36V</v>
      </c>
      <c r="I475" s="57"/>
    </row>
    <row r="476" spans="1:9" x14ac:dyDescent="0.2">
      <c r="A476" s="56"/>
      <c r="I476" s="57"/>
    </row>
    <row r="477" spans="1:9" x14ac:dyDescent="0.2">
      <c r="A477" s="56" t="s">
        <v>251</v>
      </c>
      <c r="B477">
        <v>12</v>
      </c>
      <c r="I477" s="57"/>
    </row>
    <row r="478" spans="1:9" x14ac:dyDescent="0.2">
      <c r="A478" s="56" t="s">
        <v>252</v>
      </c>
      <c r="B478">
        <v>18</v>
      </c>
      <c r="I478" s="57"/>
    </row>
    <row r="479" spans="1:9" x14ac:dyDescent="0.2">
      <c r="A479" s="56" t="s">
        <v>253</v>
      </c>
      <c r="B479">
        <v>14</v>
      </c>
      <c r="I479" s="57"/>
    </row>
    <row r="480" spans="1:9" x14ac:dyDescent="0.2">
      <c r="A480" s="56" t="s">
        <v>254</v>
      </c>
      <c r="B480">
        <v>6</v>
      </c>
      <c r="I480" s="57"/>
    </row>
    <row r="481" spans="1:9" x14ac:dyDescent="0.2">
      <c r="A481" s="56" t="s">
        <v>255</v>
      </c>
      <c r="B481">
        <v>7</v>
      </c>
      <c r="I481" s="57"/>
    </row>
    <row r="482" spans="1:9" x14ac:dyDescent="0.2">
      <c r="A482" s="56" t="s">
        <v>256</v>
      </c>
      <c r="B482">
        <v>11</v>
      </c>
      <c r="I482" s="57"/>
    </row>
    <row r="483" spans="1:9" x14ac:dyDescent="0.2">
      <c r="A483" s="56" t="s">
        <v>257</v>
      </c>
      <c r="B483">
        <v>1</v>
      </c>
      <c r="I483" s="57"/>
    </row>
    <row r="484" spans="1:9" x14ac:dyDescent="0.2">
      <c r="A484" s="56" t="s">
        <v>258</v>
      </c>
      <c r="B484">
        <v>5</v>
      </c>
      <c r="I484" s="57"/>
    </row>
    <row r="485" spans="1:9" x14ac:dyDescent="0.2">
      <c r="A485" s="56" t="s">
        <v>259</v>
      </c>
      <c r="B485">
        <v>13</v>
      </c>
      <c r="I485" s="57"/>
    </row>
    <row r="486" spans="1:9" x14ac:dyDescent="0.2">
      <c r="A486" s="56" t="s">
        <v>260</v>
      </c>
      <c r="B486">
        <v>4</v>
      </c>
      <c r="I486" s="57"/>
    </row>
    <row r="487" spans="1:9" x14ac:dyDescent="0.2">
      <c r="A487" s="56" t="s">
        <v>261</v>
      </c>
      <c r="B487">
        <v>3</v>
      </c>
      <c r="I487" s="57"/>
    </row>
    <row r="488" spans="1:9" x14ac:dyDescent="0.2">
      <c r="A488" s="56" t="s">
        <v>262</v>
      </c>
      <c r="B488">
        <v>24</v>
      </c>
      <c r="I488" s="57"/>
    </row>
    <row r="489" spans="1:9" x14ac:dyDescent="0.2">
      <c r="A489" s="56" t="s">
        <v>263</v>
      </c>
      <c r="B489">
        <v>23</v>
      </c>
      <c r="I489" s="57"/>
    </row>
    <row r="490" spans="1:9" x14ac:dyDescent="0.2">
      <c r="A490" s="56" t="s">
        <v>264</v>
      </c>
      <c r="B490">
        <v>15</v>
      </c>
      <c r="I490" s="57"/>
    </row>
    <row r="491" spans="1:9" x14ac:dyDescent="0.2">
      <c r="A491" s="56" t="s">
        <v>265</v>
      </c>
      <c r="B491">
        <v>16</v>
      </c>
      <c r="I491" s="57"/>
    </row>
    <row r="492" spans="1:9" x14ac:dyDescent="0.2">
      <c r="A492" s="56" t="s">
        <v>266</v>
      </c>
      <c r="B492">
        <v>17</v>
      </c>
      <c r="I492" s="57"/>
    </row>
    <row r="493" spans="1:9" x14ac:dyDescent="0.2">
      <c r="A493" t="s">
        <v>278</v>
      </c>
      <c r="B493">
        <v>2</v>
      </c>
      <c r="I493" s="57"/>
    </row>
    <row r="494" spans="1:9" x14ac:dyDescent="0.2">
      <c r="A494" s="56" t="s">
        <v>277</v>
      </c>
      <c r="B494">
        <v>8</v>
      </c>
      <c r="I494" s="57"/>
    </row>
    <row r="495" spans="1:9" ht="13.5" thickBot="1" x14ac:dyDescent="0.25">
      <c r="A495" s="60"/>
      <c r="B495" s="61"/>
      <c r="C495" s="318"/>
      <c r="D495" s="61"/>
      <c r="E495" s="61"/>
      <c r="F495" s="61"/>
      <c r="G495" s="61"/>
      <c r="H495" s="61"/>
      <c r="I495" s="62"/>
    </row>
  </sheetData>
  <sheetProtection selectLockedCells="1"/>
  <mergeCells count="2">
    <mergeCell ref="E5:H5"/>
    <mergeCell ref="A1:I1"/>
  </mergeCells>
  <phoneticPr fontId="6" type="noConversion"/>
  <pageMargins left="0.75" right="0.75" top="1" bottom="1" header="0.5" footer="0.5"/>
  <pageSetup orientation="portrait" r:id="rId1"/>
  <headerFooter alignWithMargins="0"/>
  <ignoredErrors>
    <ignoredError sqref="B291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B9"/>
  <sheetViews>
    <sheetView zoomScaleNormal="100" workbookViewId="0">
      <selection activeCell="E5" sqref="E5"/>
    </sheetView>
  </sheetViews>
  <sheetFormatPr defaultRowHeight="12.75" x14ac:dyDescent="0.2"/>
  <cols>
    <col min="1" max="1" width="10.5703125" customWidth="1"/>
    <col min="2" max="2" width="133.85546875" customWidth="1"/>
  </cols>
  <sheetData>
    <row r="2" spans="1:2" x14ac:dyDescent="0.2">
      <c r="A2" t="str">
        <f>IF(DITHER=1, "SCH_WITH_DITH", "SCH_NO_DITH")</f>
        <v>SCH_NO_DITH</v>
      </c>
    </row>
    <row r="5" spans="1:2" ht="393" customHeight="1" x14ac:dyDescent="0.2">
      <c r="B5" s="599"/>
    </row>
    <row r="6" spans="1:2" ht="12" customHeight="1" x14ac:dyDescent="0.2">
      <c r="B6" s="599"/>
    </row>
    <row r="7" spans="1:2" ht="34.5" customHeight="1" x14ac:dyDescent="0.2"/>
    <row r="8" spans="1:2" ht="393" customHeight="1" x14ac:dyDescent="0.2">
      <c r="B8" s="599"/>
    </row>
    <row r="9" spans="1:2" x14ac:dyDescent="0.2">
      <c r="B9" s="599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B7"/>
  <sheetViews>
    <sheetView zoomScaleNormal="100" workbookViewId="0">
      <selection activeCell="B5" sqref="B5"/>
    </sheetView>
  </sheetViews>
  <sheetFormatPr defaultRowHeight="12.75" x14ac:dyDescent="0.2"/>
  <cols>
    <col min="1" max="1" width="10.5703125" customWidth="1"/>
    <col min="2" max="2" width="126" customWidth="1"/>
  </cols>
  <sheetData>
    <row r="2" spans="1:2" x14ac:dyDescent="0.2">
      <c r="A2" t="str">
        <f>IF(PLOT_TYPE=1, "EFF_IOUT", "EFF_VIN")</f>
        <v>EFF_IOUT</v>
      </c>
    </row>
    <row r="5" spans="1:2" ht="409.5" customHeight="1" x14ac:dyDescent="0.2">
      <c r="B5" s="599"/>
    </row>
    <row r="7" spans="1:2" ht="409.5" customHeight="1" x14ac:dyDescent="0.2">
      <c r="B7" s="599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rgb="FF92D050"/>
  </sheetPr>
  <dimension ref="A1:CD235"/>
  <sheetViews>
    <sheetView topLeftCell="F1" zoomScaleNormal="100" workbookViewId="0">
      <pane ySplit="8" topLeftCell="A9" activePane="bottomLeft" state="frozen"/>
      <selection pane="bottomLeft" activeCell="J97" sqref="J97"/>
    </sheetView>
  </sheetViews>
  <sheetFormatPr defaultRowHeight="12.75" x14ac:dyDescent="0.2"/>
  <cols>
    <col min="1" max="1" width="19.85546875" customWidth="1"/>
    <col min="2" max="2" width="13.140625" bestFit="1" customWidth="1"/>
    <col min="4" max="4" width="71.5703125" customWidth="1"/>
    <col min="6" max="6" width="9.140625" customWidth="1"/>
    <col min="7" max="7" width="6.85546875" customWidth="1"/>
    <col min="8" max="8" width="9.140625" style="609"/>
    <col min="9" max="9" width="11" customWidth="1"/>
    <col min="10" max="10" width="6.7109375" customWidth="1"/>
    <col min="11" max="11" width="5.85546875" customWidth="1"/>
    <col min="12" max="13" width="7.140625" customWidth="1"/>
    <col min="14" max="14" width="10.7109375" style="386" customWidth="1"/>
    <col min="15" max="15" width="11.42578125" style="386" customWidth="1"/>
    <col min="16" max="16" width="8.85546875" style="4" customWidth="1"/>
    <col min="17" max="17" width="8" style="4" customWidth="1"/>
    <col min="18" max="18" width="10.28515625" style="335" bestFit="1" customWidth="1"/>
    <col min="19" max="19" width="8" customWidth="1"/>
    <col min="20" max="20" width="9.28515625" customWidth="1"/>
    <col min="21" max="21" width="10.28515625" style="4" customWidth="1"/>
    <col min="22" max="22" width="9.85546875" customWidth="1"/>
    <col min="23" max="23" width="10.7109375" customWidth="1"/>
    <col min="24" max="24" width="9.7109375" style="335" customWidth="1"/>
    <col min="25" max="25" width="10.5703125" customWidth="1"/>
    <col min="27" max="28" width="8.5703125" customWidth="1"/>
    <col min="29" max="29" width="10" customWidth="1"/>
    <col min="30" max="30" width="8" customWidth="1"/>
    <col min="31" max="31" width="9.85546875" customWidth="1"/>
    <col min="32" max="32" width="8.85546875" customWidth="1"/>
    <col min="33" max="33" width="10.5703125" bestFit="1" customWidth="1"/>
    <col min="34" max="34" width="11.140625" customWidth="1"/>
    <col min="35" max="35" width="10.28515625" customWidth="1"/>
    <col min="36" max="37" width="8.5703125" customWidth="1"/>
    <col min="38" max="38" width="10" customWidth="1"/>
    <col min="39" max="39" width="8" customWidth="1"/>
    <col min="40" max="40" width="9.85546875" customWidth="1"/>
    <col min="41" max="41" width="8.85546875" customWidth="1"/>
    <col min="42" max="42" width="10.5703125" bestFit="1" customWidth="1"/>
    <col min="43" max="43" width="11.140625" customWidth="1"/>
    <col min="44" max="44" width="10.28515625" customWidth="1"/>
    <col min="45" max="45" width="12.28515625" style="335" customWidth="1"/>
    <col min="46" max="46" width="13.7109375" customWidth="1"/>
    <col min="47" max="47" width="12" style="335" customWidth="1"/>
    <col min="48" max="48" width="10.7109375" customWidth="1"/>
    <col min="49" max="49" width="11" customWidth="1"/>
    <col min="50" max="50" width="9.28515625" customWidth="1"/>
    <col min="51" max="52" width="10.42578125" customWidth="1"/>
    <col min="54" max="54" width="8.42578125" style="4" customWidth="1"/>
    <col min="55" max="55" width="7.28515625" customWidth="1"/>
    <col min="56" max="56" width="10.140625" style="9" customWidth="1"/>
    <col min="57" max="57" width="10.42578125" style="406" customWidth="1"/>
    <col min="58" max="58" width="10.5703125" style="406" customWidth="1"/>
    <col min="59" max="59" width="3.28515625" customWidth="1"/>
    <col min="60" max="60" width="9.28515625" style="386" customWidth="1"/>
    <col min="61" max="61" width="9.140625" style="335"/>
    <col min="62" max="62" width="10.28515625" style="335" customWidth="1"/>
    <col min="63" max="63" width="8.85546875" style="335" customWidth="1"/>
    <col min="64" max="64" width="7.85546875" customWidth="1"/>
    <col min="68" max="68" width="28.42578125" customWidth="1"/>
    <col min="71" max="71" width="12.42578125" bestFit="1" customWidth="1"/>
  </cols>
  <sheetData>
    <row r="1" spans="1:82" ht="12.75" customHeight="1" x14ac:dyDescent="0.2">
      <c r="A1" s="714" t="s">
        <v>888</v>
      </c>
      <c r="B1" s="714"/>
      <c r="C1" s="714"/>
      <c r="D1" s="714"/>
    </row>
    <row r="2" spans="1:82" ht="12.75" customHeight="1" x14ac:dyDescent="0.2">
      <c r="A2" s="714"/>
      <c r="B2" s="714"/>
      <c r="C2" s="714"/>
      <c r="D2" s="714"/>
      <c r="H2" s="615">
        <f>BD9</f>
        <v>0.82914924636671794</v>
      </c>
      <c r="I2" s="118" t="s">
        <v>923</v>
      </c>
      <c r="AI2" s="118"/>
      <c r="AJ2" s="118"/>
    </row>
    <row r="3" spans="1:82" ht="12.75" customHeight="1" x14ac:dyDescent="0.2">
      <c r="A3" s="714"/>
      <c r="B3" s="714"/>
      <c r="C3" s="714"/>
      <c r="D3" s="714"/>
      <c r="H3" s="615">
        <f>BD109</f>
        <v>0.97317495337000748</v>
      </c>
      <c r="I3" s="118" t="s">
        <v>925</v>
      </c>
      <c r="AI3" s="118"/>
      <c r="AJ3" s="118"/>
    </row>
    <row r="4" spans="1:82" ht="12.75" customHeight="1" x14ac:dyDescent="0.2">
      <c r="A4" s="714"/>
      <c r="B4" s="714"/>
      <c r="C4" s="714"/>
      <c r="D4" s="714"/>
      <c r="H4" s="615">
        <f>BD209</f>
        <v>0.96437568341519453</v>
      </c>
      <c r="I4" s="118" t="s">
        <v>924</v>
      </c>
      <c r="AI4" s="118"/>
      <c r="AJ4" s="118"/>
    </row>
    <row r="5" spans="1:82" x14ac:dyDescent="0.2">
      <c r="A5" s="10"/>
      <c r="B5" s="11"/>
      <c r="C5" s="6"/>
      <c r="D5" s="6"/>
    </row>
    <row r="6" spans="1:82" ht="13.5" customHeight="1" thickBot="1" x14ac:dyDescent="0.25">
      <c r="A6" s="715" t="s">
        <v>682</v>
      </c>
      <c r="B6" s="715"/>
      <c r="C6" s="715"/>
      <c r="D6" s="715"/>
      <c r="BU6">
        <v>80</v>
      </c>
      <c r="BV6">
        <v>100</v>
      </c>
      <c r="BW6">
        <v>120</v>
      </c>
      <c r="BX6">
        <v>140</v>
      </c>
      <c r="BY6">
        <v>160</v>
      </c>
      <c r="BZ6">
        <v>180</v>
      </c>
      <c r="CA6">
        <v>20</v>
      </c>
      <c r="CB6">
        <v>30</v>
      </c>
      <c r="CC6">
        <v>40</v>
      </c>
      <c r="CD6">
        <v>50</v>
      </c>
    </row>
    <row r="7" spans="1:82" ht="13.5" thickBot="1" x14ac:dyDescent="0.25">
      <c r="A7" s="715"/>
      <c r="B7" s="715"/>
      <c r="C7" s="715"/>
      <c r="D7" s="715"/>
      <c r="G7" s="711" t="s">
        <v>903</v>
      </c>
      <c r="H7" s="712"/>
      <c r="I7" s="712"/>
      <c r="J7" s="712"/>
      <c r="K7" s="712"/>
      <c r="L7" s="712"/>
      <c r="M7" s="712"/>
      <c r="N7" s="712"/>
      <c r="O7" s="712"/>
      <c r="P7" s="713"/>
      <c r="Q7" s="711" t="s">
        <v>694</v>
      </c>
      <c r="R7" s="712"/>
      <c r="S7" s="712"/>
      <c r="T7" s="713"/>
      <c r="U7" s="716" t="s">
        <v>27</v>
      </c>
      <c r="V7" s="717"/>
      <c r="W7" s="718"/>
      <c r="X7" s="711" t="s">
        <v>61</v>
      </c>
      <c r="Y7" s="712"/>
      <c r="Z7" s="713"/>
      <c r="AA7" s="711" t="s">
        <v>898</v>
      </c>
      <c r="AB7" s="712"/>
      <c r="AC7" s="712"/>
      <c r="AD7" s="712"/>
      <c r="AE7" s="713"/>
      <c r="AF7" s="711" t="s">
        <v>899</v>
      </c>
      <c r="AG7" s="712"/>
      <c r="AH7" s="712"/>
      <c r="AI7" s="713"/>
      <c r="AJ7" s="711" t="s">
        <v>900</v>
      </c>
      <c r="AK7" s="712"/>
      <c r="AL7" s="712"/>
      <c r="AM7" s="712"/>
      <c r="AN7" s="713"/>
      <c r="AO7" s="711" t="s">
        <v>901</v>
      </c>
      <c r="AP7" s="712"/>
      <c r="AQ7" s="712"/>
      <c r="AR7" s="713"/>
      <c r="AS7" s="510" t="s">
        <v>893</v>
      </c>
      <c r="AT7" s="508" t="s">
        <v>237</v>
      </c>
      <c r="AU7" s="511" t="s">
        <v>656</v>
      </c>
      <c r="AV7" s="509" t="s">
        <v>714</v>
      </c>
      <c r="AW7" s="509" t="s">
        <v>711</v>
      </c>
      <c r="AX7" s="719" t="s">
        <v>701</v>
      </c>
      <c r="AY7" s="720"/>
      <c r="AZ7" s="720"/>
      <c r="BA7" s="721"/>
      <c r="BB7" s="711" t="s">
        <v>709</v>
      </c>
      <c r="BC7" s="712"/>
      <c r="BD7" s="712"/>
      <c r="BE7" s="712"/>
      <c r="BF7" s="712"/>
      <c r="BG7" s="605"/>
      <c r="BH7" s="722" t="s">
        <v>710</v>
      </c>
      <c r="BI7" s="722"/>
      <c r="BJ7" s="722"/>
      <c r="BK7" s="722"/>
      <c r="BL7" s="722"/>
    </row>
    <row r="8" spans="1:82" ht="51.75" thickBot="1" x14ac:dyDescent="0.45">
      <c r="A8" s="13" t="s">
        <v>112</v>
      </c>
      <c r="B8" s="13"/>
      <c r="C8" s="13"/>
      <c r="D8" s="6"/>
      <c r="G8" s="493" t="s">
        <v>57</v>
      </c>
      <c r="H8" s="608" t="s">
        <v>4</v>
      </c>
      <c r="I8" s="600" t="s">
        <v>902</v>
      </c>
      <c r="J8" s="600" t="s">
        <v>904</v>
      </c>
      <c r="K8" s="494" t="s">
        <v>6</v>
      </c>
      <c r="L8" s="494" t="s">
        <v>412</v>
      </c>
      <c r="M8" s="494" t="s">
        <v>912</v>
      </c>
      <c r="N8" s="505" t="s">
        <v>909</v>
      </c>
      <c r="O8" s="611" t="s">
        <v>910</v>
      </c>
      <c r="P8" s="602" t="s">
        <v>695</v>
      </c>
      <c r="Q8" s="601" t="s">
        <v>897</v>
      </c>
      <c r="R8" s="507" t="s">
        <v>91</v>
      </c>
      <c r="S8" s="494" t="s">
        <v>896</v>
      </c>
      <c r="T8" s="495" t="s">
        <v>747</v>
      </c>
      <c r="U8" s="601" t="s">
        <v>697</v>
      </c>
      <c r="V8" s="496" t="s">
        <v>696</v>
      </c>
      <c r="W8" s="495" t="s">
        <v>746</v>
      </c>
      <c r="X8" s="506" t="s">
        <v>698</v>
      </c>
      <c r="Y8" s="494" t="s">
        <v>699</v>
      </c>
      <c r="Z8" s="495" t="s">
        <v>744</v>
      </c>
      <c r="AA8" s="493" t="s">
        <v>88</v>
      </c>
      <c r="AB8" s="494" t="s">
        <v>700</v>
      </c>
      <c r="AC8" s="494" t="s">
        <v>889</v>
      </c>
      <c r="AD8" s="497" t="s">
        <v>238</v>
      </c>
      <c r="AE8" s="495" t="s">
        <v>890</v>
      </c>
      <c r="AF8" s="493" t="s">
        <v>88</v>
      </c>
      <c r="AG8" s="494" t="s">
        <v>700</v>
      </c>
      <c r="AH8" s="494" t="s">
        <v>703</v>
      </c>
      <c r="AI8" s="498" t="s">
        <v>891</v>
      </c>
      <c r="AJ8" s="493" t="s">
        <v>88</v>
      </c>
      <c r="AK8" s="494" t="s">
        <v>700</v>
      </c>
      <c r="AL8" s="494" t="s">
        <v>889</v>
      </c>
      <c r="AM8" s="497" t="s">
        <v>238</v>
      </c>
      <c r="AN8" s="495" t="s">
        <v>890</v>
      </c>
      <c r="AO8" s="493" t="s">
        <v>88</v>
      </c>
      <c r="AP8" s="494" t="s">
        <v>700</v>
      </c>
      <c r="AQ8" s="494" t="s">
        <v>703</v>
      </c>
      <c r="AR8" s="498" t="s">
        <v>891</v>
      </c>
      <c r="AS8" s="507" t="s">
        <v>892</v>
      </c>
      <c r="AT8" s="495" t="s">
        <v>703</v>
      </c>
      <c r="AU8" s="512" t="s">
        <v>97</v>
      </c>
      <c r="AV8" s="513" t="s">
        <v>713</v>
      </c>
      <c r="AW8" s="513" t="s">
        <v>712</v>
      </c>
      <c r="AX8" s="499" t="s">
        <v>704</v>
      </c>
      <c r="AY8" s="500" t="s">
        <v>166</v>
      </c>
      <c r="AZ8" s="501" t="s">
        <v>240</v>
      </c>
      <c r="BA8" s="502" t="s">
        <v>702</v>
      </c>
      <c r="BB8" s="503" t="s">
        <v>58</v>
      </c>
      <c r="BC8" s="494" t="s">
        <v>394</v>
      </c>
      <c r="BD8" s="504" t="s">
        <v>706</v>
      </c>
      <c r="BE8" s="613" t="s">
        <v>894</v>
      </c>
      <c r="BF8" s="613" t="s">
        <v>895</v>
      </c>
      <c r="BH8" s="606" t="s">
        <v>705</v>
      </c>
      <c r="BI8" s="607" t="s">
        <v>745</v>
      </c>
      <c r="BJ8" s="607" t="s">
        <v>914</v>
      </c>
      <c r="BK8" s="607" t="s">
        <v>891</v>
      </c>
      <c r="BL8" s="607" t="s">
        <v>870</v>
      </c>
      <c r="BM8" s="607"/>
      <c r="BS8" t="s">
        <v>132</v>
      </c>
      <c r="BU8" t="s">
        <v>124</v>
      </c>
      <c r="BV8" t="s">
        <v>125</v>
      </c>
      <c r="BW8" t="s">
        <v>126</v>
      </c>
      <c r="BX8" t="s">
        <v>127</v>
      </c>
      <c r="BY8" t="s">
        <v>128</v>
      </c>
      <c r="BZ8" t="s">
        <v>129</v>
      </c>
      <c r="CA8" t="s">
        <v>133</v>
      </c>
      <c r="CB8" t="s">
        <v>134</v>
      </c>
      <c r="CC8" t="s">
        <v>135</v>
      </c>
      <c r="CD8" t="s">
        <v>136</v>
      </c>
    </row>
    <row r="9" spans="1:82" x14ac:dyDescent="0.2">
      <c r="A9" s="14" t="s">
        <v>59</v>
      </c>
      <c r="B9" s="15" t="s">
        <v>115</v>
      </c>
      <c r="C9" s="16" t="s">
        <v>80</v>
      </c>
      <c r="D9" s="17" t="s">
        <v>111</v>
      </c>
      <c r="G9">
        <v>0</v>
      </c>
      <c r="H9" s="610">
        <f t="shared" ref="H9:H72" si="0">VIN_min+(VIN_max-VIN_min)*(G9/200)</f>
        <v>6</v>
      </c>
      <c r="I9" s="4" t="str">
        <f t="shared" ref="I9:I72" si="1">IF(H9&gt;VIN_BB_to_buck, "BUCK", IF(H9&lt;VIN_boost_to_BB,"BOOST","BUCK-BST"))</f>
        <v>BOOST</v>
      </c>
      <c r="J9">
        <f>IF(I9="BOOST",2, IF(I9="BUCK", 1,3))</f>
        <v>2</v>
      </c>
      <c r="K9">
        <f t="shared" ref="K9:K72" si="2">Iout</f>
        <v>12</v>
      </c>
      <c r="L9" s="4">
        <f t="shared" ref="L9:L72" si="3">Vout*K9/(H9*Efficiency)</f>
        <v>26.666666666666664</v>
      </c>
      <c r="M9" s="4">
        <f t="shared" ref="M9:M72" si="4">Iout/(1-O9)</f>
        <v>24.806488991888763</v>
      </c>
      <c r="N9" s="386">
        <f t="shared" ref="N9:N72" si="5">CHOOSE(J9,(Vout+(Rdson2+Rs+Rdcr)*K9)/(H9+(Rs+Rdson2-Rdson1)*K9),1,IF(H9&lt;Vout,D_max_buck_BB,Vout/H9*(1-D_min_boost_exitBB_to_buck)))</f>
        <v>1</v>
      </c>
      <c r="O9" s="386">
        <f>CHOOSE(J9,0,(Vout+(Rdson3+Rdcr)*L9-H9)/(Vout+(Rdson3-Rdson4-Rs)*L9), IF(H9&gt;Vout,D_min_boost_exitBB_to_buck, (Vout-H9*D_max_buck_BB)/Vout))</f>
        <v>0.51625560538116599</v>
      </c>
      <c r="P9" s="4">
        <f t="shared" ref="P9:P72" si="6">MAX(0, CHOOSE(J9, (H9-(Rdson1+Rdcr)*K9-Vout)*N9/(Fsw*Lf), (H9-(Rdson4+Rdcr+Rs)*L9)*O9/(Fsw*Lf), IF(H9&lt;Vout, (H9-(Rdson4+Rdcr+Rs)*L9)*O9/(0.5*Fsw*Lf),(H9-(Rdson1+Rdcr)*K9-Vout)*N9/(0.5*Fsw*Lf))))</f>
        <v>2.5278217727316097</v>
      </c>
      <c r="Q9" s="386">
        <f t="shared" ref="Q9:Q72" si="7">CHOOSE(J9, SQRT(K9^2+(P9^2)/12), SQRT(L9^2+(P9^2)/12), SQRT(M9^2+(P9^2)/12))</f>
        <v>26.67664899034364</v>
      </c>
      <c r="R9" s="386">
        <f t="shared" ref="R9:R73" si="8">(Q9^2*Rdcr*(1+Ltc*Ta-Ltc*25))/(1-Q9^2*Rdcr*Ltc*ThetaCa)</f>
        <v>2.9458376504386181</v>
      </c>
      <c r="S9" s="386">
        <f>ABS(7.759*10^-3*Fsw^0.9458*(0.00787*P9)^2.304)</f>
        <v>0.11896823451208072</v>
      </c>
      <c r="T9" s="386">
        <f>R9+S9</f>
        <v>3.0648058849506987</v>
      </c>
      <c r="U9" s="4">
        <f t="shared" ref="U9:U72" si="9">IF(H9&gt;Vout, P9/SQRT(12), SQRT(O9/(1-O9))*SQRT(K9^2+(P9^2)/12))</f>
        <v>12.419587168614806</v>
      </c>
      <c r="V9" s="386">
        <f t="shared" ref="V9:V73" si="10">RCoutEsr*U9^2</f>
        <v>0.30849229087764302</v>
      </c>
      <c r="W9" s="386">
        <f>V9</f>
        <v>0.30849229087764302</v>
      </c>
      <c r="X9" s="386">
        <f t="shared" ref="X9:X72" si="11">IF(H9&gt;Vout, SQRT(N9*(1-N9))*SQRT(K9^2+(P9^2)/12), P9/SQRT(12))</f>
        <v>0.72971929047499595</v>
      </c>
      <c r="Y9" s="386">
        <f t="shared" ref="Y9:Y73" si="12">RCinEsr*X9^2</f>
        <v>1.0649804857826631E-3</v>
      </c>
      <c r="Z9" s="603">
        <f>Y9</f>
        <v>1.0649804857826631E-3</v>
      </c>
      <c r="AA9" s="386">
        <f t="shared" ref="AA9:AA72" si="13">CHOOSE(J9, SQRT(N9)*SQRT(K9^2+(P9^2)/12), SQRT(L9^2+(P9^2)/12), SQRT(N9)*SQRT(M9^2+(P9^2)/12))</f>
        <v>26.67664899034364</v>
      </c>
      <c r="AB9" s="386">
        <f t="shared" ref="AB9:AB72" si="14">Rdson1*AA9^2</f>
        <v>4.0563685277178134</v>
      </c>
      <c r="AC9" s="386">
        <f t="shared" ref="AC9:AC72" si="15">CHOOSE(J9, (H9*K9/2)*(Fsw)*(Tr_buck+Tf_buck), 0, (H9*M9/2)*(Fsw/2)*(Tr_buck+Tf_buck))</f>
        <v>0</v>
      </c>
      <c r="AD9">
        <f t="shared" ref="AD9:AD72" si="16">IF(H9&gt;Vout, IF(K9&gt;P9/2,0,ABS(K9-P9/2)*Vsd_Q1*Deadtime*Fsw),0)</f>
        <v>0</v>
      </c>
      <c r="AE9" s="386">
        <f t="shared" ref="AE9:AE72" si="17">(AD9+AC9+AB9*(1+RdsonTopTc*Ta-RdsonTopTc*25))/(1-AB9*RdsonTopTc*ThetaJA_Q1)</f>
        <v>21.493393590971628</v>
      </c>
      <c r="AF9" s="386">
        <f t="shared" ref="AF9:AF72" si="18">CHOOSE(J9, SQRT((1-N9))*SQRT(K9^2+(P9^2)/12), 0, SQRT((1-N9))*SQRT(M9^2+(P9^2)/12))</f>
        <v>0</v>
      </c>
      <c r="AG9" s="386">
        <f t="shared" ref="AG9:AG72" si="19">Rdson2*AF9^2</f>
        <v>0</v>
      </c>
      <c r="AH9" s="386">
        <f t="shared" ref="AH9:AH72" si="20">CHOOSE(J9, IF(K9&lt;P9/2,Deadtime*Fsw*IF(VfdSky_Q2&gt;0,0,Vsd_Q2)*(K9+P9/2),2*Deadtime*Fsw*IF(VfdSky_Q2&gt;0,0,Vsd_Q2)*K9),0, IF(K9&lt;P9/2,Deadtime*Fsw/2*IF(VfdSky_Q2&gt;0,0,Vsd_Q2)*(K9+P9/2),2*Deadtime*Fsw/2*IF(VfdSky_Q2&gt;0,0,Vsd_Q2)*K9))</f>
        <v>0</v>
      </c>
      <c r="AI9" s="386">
        <f t="shared" ref="AI9:AI72" si="21">(AH9+AG9*(1+RdsonBotTc*Ta-RdsonBotTc*25))/(1-AG9*RdsonBotTc*ThetaJA_Q2)</f>
        <v>0</v>
      </c>
      <c r="AJ9" s="386">
        <f t="shared" ref="AJ9:AJ72" si="22">CHOOSE(J9, 0, SQRT(O9)*SQRT(L9^2+(P9^2)/12), SQRT(O9)*SQRT(M9^2+(P9^2)/12))</f>
        <v>19.167420228936486</v>
      </c>
      <c r="AK9" s="386">
        <f t="shared" ref="AK9:AK72" si="23">Rdson4*AJ9^2</f>
        <v>0.6980409966420229</v>
      </c>
      <c r="AL9" s="386">
        <f t="shared" ref="AL9:AL72" si="24">CHOOSE(J9, 0, (Vout*L9/2)*(Fsw)*(Tr_boost+Tf_boost), (Vout*Iout/2)*(Fsw/2)*(Tr_boost+Tf_boost))</f>
        <v>0.25550264319105248</v>
      </c>
      <c r="AM9">
        <f t="shared" ref="AM9:AM72" si="25">IF(H9&gt;Vout, 0, IF(L9&gt;P9/2,0,ABS(L9-P9/2)*Vsd_Q4*Deadtime*Fsw))</f>
        <v>0</v>
      </c>
      <c r="AN9" s="386">
        <f t="shared" ref="AN9:AN72" si="26">(AM9+AL9+AK9*(1+RdsonTopTc*Ta-RdsonTopTc*25))/(1-AK9*RdsonTopTc*ThetaJA_Q4)</f>
        <v>1.1082667676386138</v>
      </c>
      <c r="AO9" s="386">
        <f t="shared" ref="AO9:AO72" si="27">CHOOSE(J9, SQRT(Iout^2+(P9^2)/12), SQRT(1-O9)*SQRT(L9^2+(P9^2)/12), SQRT(1-O9)*SQRT(M9^2+(P9^2)/12))</f>
        <v>18.554072413391047</v>
      </c>
      <c r="AP9" s="386">
        <f t="shared" ref="AP9:AP72" si="28">Rdson3*AO9^2</f>
        <v>0.6540818459305815</v>
      </c>
      <c r="AQ9" s="386">
        <f t="shared" ref="AQ9:AQ72" si="29">CHOOSE(J9, 0, IF(L9&lt;P9/2,Deadtime*Fsw*IF(VfdSky_Q3&gt;0,0,Vsd_Q3)*(L9+P9/2), 2*Deadtime*Fsw*IF(VfdSky_Q3&gt;0,0,Vsd_Q3)*L9), IF(L9&lt;P9/2,Deadtime*Fsw/2*IF(VfdSky_Q3&gt;0,0,Vsd_Q3)*(L9+P9/2), 2*Deadtime*Fsw/2*IF(VfdSky_Q3&gt;0,0,Vsd_Q3)*L9))</f>
        <v>0.53333333333333333</v>
      </c>
      <c r="AR9" s="386">
        <f t="shared" ref="AR9:AR72" si="30">(AQ9+AP9*(1+RdsonBotTc*Ta-RdsonBotTc*25))/(1-AP9*RdsonBotTc*ThetaJA_Q3)</f>
        <v>1.3661269462150898</v>
      </c>
      <c r="AS9" s="386">
        <f t="shared" ref="AS9:AS72" si="31">CHOOSE(J9, Rdson3*Q9^2, Rdson1*Q9^2, 0)</f>
        <v>4.0563685277178134</v>
      </c>
      <c r="AT9" s="386">
        <f t="shared" ref="AT9:AT72" si="32">CHOOSE(J9, 2*Deadtime*Fsw*IF(VfdSky_Q2&gt;0,VfdSky_Q2,0)*K9, 2*Deadtime*Fsw*IF(VfdSky_Q3&gt;0,VfdSky_Q3,0)*L9, 2*Deadtime*Fsw/2*IF(VfdSky_Q2&gt;0,VfdSky_Q2,0)*K9+2*Deadtime*Fsw/2*IF(VfdSky_Q3&gt;0,VfdSky_Q3,0)*L9)</f>
        <v>0</v>
      </c>
      <c r="AU9" s="386">
        <f t="shared" ref="AU9:AU72" si="33">CHOOSE(J9, IF(QrrSky_Q2&gt;0,QrrSky_Q2,Qrr_Q2)*Fsw*(H9-K9*Rdson1), IF(QrrSky_Q3&gt;0,QrrSky_Q3,Qrr_Q3)*Fsw*Vout,  IF(QrrSky_Q2&gt;0,QrrSky_Q2,Qrr_Q2)*Fsw/2*(H9-K9*Rdson1)+IF(QrrSky_Q3&gt;0,QrrSky_Q3,Qrr_Q3)*Fsw/2*Vout)</f>
        <v>9.8999999999999977E-2</v>
      </c>
      <c r="AV9" s="386">
        <f t="shared" ref="AV9:AV72" si="34">CHOOSE(J9, Rs*AF9^2, Rs*AJ9^2, Rs*(AF9^2+AJ9^2))</f>
        <v>1.4695599929305745</v>
      </c>
      <c r="AW9" s="386">
        <f t="shared" ref="AW9:AW72" si="35">Rshunt_std/1000*Iout^2</f>
        <v>0.59328000000000003</v>
      </c>
      <c r="AX9" s="386">
        <f t="shared" ref="AX9:AX72" si="36">IF(Vout&gt;8, Iq*Vout, Iq*H9)</f>
        <v>3.6000000000000004E-2</v>
      </c>
      <c r="AY9" s="386">
        <f t="shared" ref="AY9:AY72" si="37">CHOOSE(J9, (Qg_Q1+Qg_Q2)*Fsw, (Qg_Q3+Qg_Q4)*Fsw, (Qg_Q1+Qg_Q2+Qg_Q3+Qg_Q4)*Fsw/2)*IF(Vout&gt;8, Vout, H9)</f>
        <v>0.13200000000000001</v>
      </c>
      <c r="AZ9" s="386">
        <f t="shared" ref="AZ9:AZ72" si="38">(Vin-Vdd)*Fsw*(Qg_Q1+Qg_Q2)+(RdsonDRT+RdsonDRT2)*Fsw*Qg_Q1*Vdd/(RdsonDRT+2*Rgate1+RdsonDRT2)+(RdsonDRB+RdsonDRB2)*Fsw*Qg_Q2*Vdd/(RdsonDRB+2*Rgate2+RdsonDRB2)</f>
        <v>4.3499999999999997E-2</v>
      </c>
      <c r="BA9" s="386">
        <f>SUM(AX9:AY9)</f>
        <v>0.16800000000000001</v>
      </c>
      <c r="BB9" s="386">
        <f>SUM(T9,W9,Z9,AE9,AI9,AN9,AR9, AT9,AU9,BA9,AV9,AW9)</f>
        <v>29.671990454070031</v>
      </c>
      <c r="BC9">
        <f t="shared" ref="BC9:BC72" si="39">Vout*K9</f>
        <v>144</v>
      </c>
      <c r="BD9" s="604">
        <f>BC9/(BC9+BB9)</f>
        <v>0.82914924636671794</v>
      </c>
      <c r="BE9" s="614">
        <f t="shared" ref="BE9:BE72" si="40">IF(H9&gt;Vout,ThetaJA_Q1*(AE9+AU9),ThetaJA_Q4*(AN9+AU9))</f>
        <v>60.363338381930689</v>
      </c>
      <c r="BF9" s="614">
        <f t="shared" ref="BF9:BF72" si="41">IF(H9&gt;Vout, AI9*ThetaJA_Q2, ThetaJA_Q3*AR9)</f>
        <v>68.306347310754489</v>
      </c>
      <c r="BH9" s="4">
        <f>BD9*100</f>
        <v>82.914924636671799</v>
      </c>
      <c r="BI9" s="386">
        <f>T9</f>
        <v>3.0648058849506987</v>
      </c>
      <c r="BJ9" s="386">
        <f>AE9+AI9+AN9+AR9+AU9</f>
        <v>24.066787304825333</v>
      </c>
      <c r="BK9" s="386">
        <f>AI9+AU9*0.33</f>
        <v>3.2669999999999991E-2</v>
      </c>
      <c r="BL9" s="386">
        <f>AV9</f>
        <v>1.4695599929305745</v>
      </c>
      <c r="BP9" t="s">
        <v>137</v>
      </c>
      <c r="BQ9" s="18">
        <v>70</v>
      </c>
      <c r="BR9" s="18">
        <v>70</v>
      </c>
      <c r="BS9" s="18">
        <v>70</v>
      </c>
      <c r="BT9" s="19">
        <f>250000*(5-Vdd)*BS9/1000000000+((250000*BS9/1000000000*Vdd)*2.5/(2*4))</f>
        <v>-2.7343749999999972E-3</v>
      </c>
      <c r="BU9">
        <f t="shared" ref="BU9:CD17" si="42">BU$6*$BT9</f>
        <v>-0.21874999999999978</v>
      </c>
      <c r="BV9">
        <f t="shared" si="42"/>
        <v>-0.27343749999999972</v>
      </c>
      <c r="BW9">
        <f t="shared" si="42"/>
        <v>-0.32812499999999967</v>
      </c>
      <c r="BX9">
        <f t="shared" si="42"/>
        <v>-0.38281249999999961</v>
      </c>
      <c r="BY9">
        <f t="shared" si="42"/>
        <v>-0.43749999999999956</v>
      </c>
      <c r="BZ9">
        <f t="shared" si="42"/>
        <v>-0.4921874999999995</v>
      </c>
      <c r="CA9">
        <f t="shared" si="42"/>
        <v>-5.4687499999999944E-2</v>
      </c>
      <c r="CB9">
        <f t="shared" si="42"/>
        <v>-8.2031249999999917E-2</v>
      </c>
      <c r="CC9">
        <f t="shared" si="42"/>
        <v>-0.10937499999999989</v>
      </c>
      <c r="CD9">
        <f t="shared" si="42"/>
        <v>-0.13671874999999986</v>
      </c>
    </row>
    <row r="10" spans="1:82" x14ac:dyDescent="0.2">
      <c r="A10" s="547"/>
      <c r="B10" s="24"/>
      <c r="C10" s="16"/>
      <c r="D10" s="17"/>
      <c r="G10">
        <v>1</v>
      </c>
      <c r="H10" s="610">
        <f t="shared" si="0"/>
        <v>6.15</v>
      </c>
      <c r="I10" s="4" t="str">
        <f t="shared" si="1"/>
        <v>BOOST</v>
      </c>
      <c r="J10">
        <f t="shared" ref="J10:J73" si="43">IF(I10="BOOST",2, IF(I10="BUCK", 1,3))</f>
        <v>2</v>
      </c>
      <c r="K10">
        <f t="shared" si="2"/>
        <v>12</v>
      </c>
      <c r="L10" s="4">
        <f t="shared" si="3"/>
        <v>26.016260162601625</v>
      </c>
      <c r="M10" s="4">
        <f t="shared" si="4"/>
        <v>24.156841163926533</v>
      </c>
      <c r="N10" s="386">
        <f t="shared" si="5"/>
        <v>1</v>
      </c>
      <c r="O10" s="386">
        <f t="shared" ref="O10:O41" si="44">CHOOSE(J10,0,(Vout+(Rdson3+Rdcr)*L10-H10)/(Vout+(Rdson3-Rdson4-Rs)*L10),IF(H10&gt;Vout,D_min_boost_exitBB_to_buck, (Vout-H10*D_max_buck_BB)/Vout))</f>
        <v>0.50324630945872062</v>
      </c>
      <c r="P10" s="4">
        <f t="shared" si="6"/>
        <v>2.530943297215507</v>
      </c>
      <c r="Q10" s="386">
        <f t="shared" si="7"/>
        <v>26.026517227870674</v>
      </c>
      <c r="R10" s="386">
        <f t="shared" si="8"/>
        <v>2.7725427877351652</v>
      </c>
      <c r="S10" s="386">
        <f t="shared" ref="S10:S72" si="45">7.759*10^-3*Fsw^0.9458*(0.00787*P10)^2.304</f>
        <v>0.11930698767197177</v>
      </c>
      <c r="T10" s="386">
        <f t="shared" ref="T10:T73" si="46">R10+S10</f>
        <v>2.8918497754071368</v>
      </c>
      <c r="U10" s="4">
        <f t="shared" si="9"/>
        <v>12.100532096975767</v>
      </c>
      <c r="V10" s="386">
        <f t="shared" si="10"/>
        <v>0.29284575405988156</v>
      </c>
      <c r="W10" s="386">
        <f t="shared" ref="W10:W73" si="47">V10</f>
        <v>0.29284575405988156</v>
      </c>
      <c r="X10" s="386">
        <f t="shared" si="11"/>
        <v>0.73062039697552605</v>
      </c>
      <c r="Y10" s="386">
        <f t="shared" si="12"/>
        <v>1.0676123289533506E-3</v>
      </c>
      <c r="Z10" s="603">
        <f t="shared" ref="Z10:Z73" si="48">Y10</f>
        <v>1.0676123289533506E-3</v>
      </c>
      <c r="AA10" s="386">
        <f t="shared" si="13"/>
        <v>26.026517227870674</v>
      </c>
      <c r="AB10" s="386">
        <f t="shared" si="14"/>
        <v>3.8610637143720994</v>
      </c>
      <c r="AC10" s="386">
        <f t="shared" si="15"/>
        <v>0</v>
      </c>
      <c r="AD10">
        <f t="shared" si="16"/>
        <v>0</v>
      </c>
      <c r="AE10" s="386">
        <f t="shared" si="17"/>
        <v>16.950306014016746</v>
      </c>
      <c r="AF10" s="386">
        <f t="shared" si="18"/>
        <v>0</v>
      </c>
      <c r="AG10" s="386">
        <f t="shared" si="19"/>
        <v>0</v>
      </c>
      <c r="AH10" s="386">
        <f t="shared" si="20"/>
        <v>0</v>
      </c>
      <c r="AI10" s="386">
        <f t="shared" si="21"/>
        <v>0</v>
      </c>
      <c r="AJ10" s="386">
        <f t="shared" si="22"/>
        <v>18.463173706211606</v>
      </c>
      <c r="AK10" s="386">
        <f t="shared" si="23"/>
        <v>0.64768868828091286</v>
      </c>
      <c r="AL10" s="386">
        <f t="shared" si="24"/>
        <v>0.24927087140590484</v>
      </c>
      <c r="AM10">
        <f t="shared" si="25"/>
        <v>0</v>
      </c>
      <c r="AN10" s="386">
        <f t="shared" si="26"/>
        <v>1.0304404894838903</v>
      </c>
      <c r="AO10" s="386">
        <f t="shared" si="27"/>
        <v>18.343685990195791</v>
      </c>
      <c r="AP10" s="386">
        <f t="shared" si="28"/>
        <v>0.63933254984312016</v>
      </c>
      <c r="AQ10" s="386">
        <f t="shared" si="29"/>
        <v>0.52032520325203246</v>
      </c>
      <c r="AR10" s="386">
        <f t="shared" si="30"/>
        <v>1.3296791905714258</v>
      </c>
      <c r="AS10" s="386">
        <f t="shared" si="31"/>
        <v>3.8610637143720994</v>
      </c>
      <c r="AT10" s="386">
        <f t="shared" si="32"/>
        <v>0</v>
      </c>
      <c r="AU10" s="386">
        <f t="shared" si="33"/>
        <v>9.8999999999999977E-2</v>
      </c>
      <c r="AV10" s="386">
        <f t="shared" si="34"/>
        <v>1.3635551332229745</v>
      </c>
      <c r="AW10" s="386">
        <f t="shared" si="35"/>
        <v>0.59328000000000003</v>
      </c>
      <c r="AX10" s="386">
        <f t="shared" si="36"/>
        <v>3.6000000000000004E-2</v>
      </c>
      <c r="AY10" s="386">
        <f t="shared" si="37"/>
        <v>0.13200000000000001</v>
      </c>
      <c r="AZ10" s="386">
        <f t="shared" si="38"/>
        <v>4.3499999999999997E-2</v>
      </c>
      <c r="BA10" s="386">
        <f t="shared" ref="BA10" si="49">SUM(AX10:AY10)</f>
        <v>0.16800000000000001</v>
      </c>
      <c r="BB10" s="386">
        <f>SUM(T10,W10,Z10,AE10,AI10,AN10,AR10, AT10,AU10,BA10,AV10,AW10)</f>
        <v>24.720023969091006</v>
      </c>
      <c r="BC10">
        <f t="shared" si="39"/>
        <v>144</v>
      </c>
      <c r="BD10" s="604">
        <f t="shared" ref="BD10:BD73" si="50">BC10/(BC10+BB10)</f>
        <v>0.85348494276162712</v>
      </c>
      <c r="BE10" s="614">
        <f t="shared" si="40"/>
        <v>56.472024474194512</v>
      </c>
      <c r="BF10" s="614">
        <f t="shared" si="41"/>
        <v>66.48395952857129</v>
      </c>
      <c r="BG10" s="9"/>
      <c r="BH10" s="4">
        <f t="shared" ref="BH10:BH73" si="51">BD10*100</f>
        <v>85.348494276162711</v>
      </c>
      <c r="BI10" s="386">
        <f t="shared" ref="BI10:BI73" si="52">T10</f>
        <v>2.8918497754071368</v>
      </c>
      <c r="BJ10" s="386">
        <f t="shared" ref="BJ10:BJ73" si="53">AE10+AI10+AN10+AR10+AU10</f>
        <v>19.409425694072063</v>
      </c>
      <c r="BK10" s="386">
        <f t="shared" ref="BK10:BK73" si="54">AI10+AU10*0.33</f>
        <v>3.2669999999999991E-2</v>
      </c>
      <c r="BL10" s="386">
        <f t="shared" ref="BL10:BL73" si="55">AV10</f>
        <v>1.3635551332229745</v>
      </c>
      <c r="BQ10" s="18"/>
      <c r="BR10" s="18"/>
      <c r="BS10" s="18"/>
      <c r="BT10" s="19"/>
    </row>
    <row r="11" spans="1:82" x14ac:dyDescent="0.2">
      <c r="A11" s="20" t="s">
        <v>4</v>
      </c>
      <c r="B11" s="5">
        <f>Vin</f>
        <v>12</v>
      </c>
      <c r="C11" s="482" t="s">
        <v>0</v>
      </c>
      <c r="D11" s="21" t="s">
        <v>4</v>
      </c>
      <c r="G11">
        <v>2</v>
      </c>
      <c r="H11" s="610">
        <f t="shared" si="0"/>
        <v>6.3</v>
      </c>
      <c r="I11" s="4" t="str">
        <f t="shared" si="1"/>
        <v>BOOST</v>
      </c>
      <c r="J11">
        <f t="shared" si="43"/>
        <v>2</v>
      </c>
      <c r="K11">
        <f t="shared" si="2"/>
        <v>12</v>
      </c>
      <c r="L11" s="4">
        <f t="shared" si="3"/>
        <v>25.396825396825395</v>
      </c>
      <c r="M11" s="4">
        <f t="shared" si="4"/>
        <v>23.541481287621036</v>
      </c>
      <c r="N11" s="386">
        <f t="shared" si="5"/>
        <v>1</v>
      </c>
      <c r="O11" s="386">
        <f t="shared" si="44"/>
        <v>0.49026147278548554</v>
      </c>
      <c r="P11" s="4">
        <f t="shared" si="6"/>
        <v>2.5306168017741846</v>
      </c>
      <c r="Q11" s="386">
        <f t="shared" si="7"/>
        <v>25.407329822053725</v>
      </c>
      <c r="R11" s="386">
        <f t="shared" si="8"/>
        <v>2.6149221179525775</v>
      </c>
      <c r="S11" s="386">
        <f t="shared" si="45"/>
        <v>0.11927153030088497</v>
      </c>
      <c r="T11" s="386">
        <f t="shared" si="46"/>
        <v>2.7341936482534623</v>
      </c>
      <c r="U11" s="4">
        <f t="shared" si="9"/>
        <v>11.790294843091704</v>
      </c>
      <c r="V11" s="386">
        <f t="shared" si="10"/>
        <v>0.27802210497406971</v>
      </c>
      <c r="W11" s="386">
        <f t="shared" si="47"/>
        <v>0.27802210497406971</v>
      </c>
      <c r="X11" s="386">
        <f t="shared" si="11"/>
        <v>0.73052614586005771</v>
      </c>
      <c r="Y11" s="386">
        <f t="shared" si="12"/>
        <v>1.0673368995703005E-3</v>
      </c>
      <c r="Z11" s="603">
        <f t="shared" si="48"/>
        <v>1.0673368995703005E-3</v>
      </c>
      <c r="AA11" s="386">
        <f t="shared" si="13"/>
        <v>25.407329822053725</v>
      </c>
      <c r="AB11" s="386">
        <f t="shared" si="14"/>
        <v>3.6795347295137373</v>
      </c>
      <c r="AC11" s="386">
        <f t="shared" si="15"/>
        <v>0</v>
      </c>
      <c r="AD11">
        <f t="shared" si="16"/>
        <v>0</v>
      </c>
      <c r="AE11" s="386">
        <f t="shared" si="17"/>
        <v>13.932720578704602</v>
      </c>
      <c r="AF11" s="386">
        <f t="shared" si="18"/>
        <v>0</v>
      </c>
      <c r="AG11" s="386">
        <f t="shared" si="19"/>
        <v>0</v>
      </c>
      <c r="AH11" s="386">
        <f t="shared" si="20"/>
        <v>0</v>
      </c>
      <c r="AI11" s="386">
        <f t="shared" si="21"/>
        <v>0</v>
      </c>
      <c r="AJ11" s="386">
        <f t="shared" si="22"/>
        <v>17.789875474928557</v>
      </c>
      <c r="AK11" s="386">
        <f t="shared" si="23"/>
        <v>0.60131137188558259</v>
      </c>
      <c r="AL11" s="386">
        <f t="shared" si="24"/>
        <v>0.24333585065814523</v>
      </c>
      <c r="AM11">
        <f t="shared" si="25"/>
        <v>0</v>
      </c>
      <c r="AN11" s="386">
        <f t="shared" si="26"/>
        <v>0.96011254029795035</v>
      </c>
      <c r="AO11" s="386">
        <f t="shared" si="27"/>
        <v>18.139810894084757</v>
      </c>
      <c r="AP11" s="386">
        <f t="shared" si="28"/>
        <v>0.62520020461899639</v>
      </c>
      <c r="AQ11" s="386">
        <f t="shared" si="29"/>
        <v>0.50793650793650791</v>
      </c>
      <c r="AR11" s="386">
        <f t="shared" si="30"/>
        <v>1.2950726496694678</v>
      </c>
      <c r="AS11" s="386">
        <f t="shared" si="31"/>
        <v>3.6795347295137373</v>
      </c>
      <c r="AT11" s="386">
        <f t="shared" si="32"/>
        <v>0</v>
      </c>
      <c r="AU11" s="386">
        <f t="shared" si="33"/>
        <v>9.8999999999999977E-2</v>
      </c>
      <c r="AV11" s="386">
        <f t="shared" si="34"/>
        <v>1.2659186776538582</v>
      </c>
      <c r="AW11" s="386">
        <f t="shared" si="35"/>
        <v>0.59328000000000003</v>
      </c>
      <c r="AX11" s="386">
        <f t="shared" si="36"/>
        <v>3.6000000000000004E-2</v>
      </c>
      <c r="AY11" s="386">
        <f t="shared" si="37"/>
        <v>0.13200000000000001</v>
      </c>
      <c r="AZ11" s="386">
        <f t="shared" si="38"/>
        <v>4.3499999999999997E-2</v>
      </c>
      <c r="BA11" s="386">
        <f t="shared" ref="BA11:BA74" si="56">SUM(AX11:AY11)</f>
        <v>0.16800000000000001</v>
      </c>
      <c r="BB11" s="386">
        <f t="shared" ref="BB11:BB74" si="57">SUM(T11,W11,Z11,AE11,AI11,AN11,AR11, AT11,AU11,BA11,AV11,AW11)</f>
        <v>21.327387536452978</v>
      </c>
      <c r="BC11">
        <f t="shared" si="39"/>
        <v>144</v>
      </c>
      <c r="BD11" s="604">
        <f t="shared" si="50"/>
        <v>0.87099906522293213</v>
      </c>
      <c r="BE11" s="614">
        <f t="shared" si="40"/>
        <v>52.955627014897509</v>
      </c>
      <c r="BF11" s="614">
        <f t="shared" si="41"/>
        <v>64.753632483473382</v>
      </c>
      <c r="BG11" s="9"/>
      <c r="BH11" s="4">
        <f t="shared" si="51"/>
        <v>87.09990652229321</v>
      </c>
      <c r="BI11" s="386">
        <f t="shared" si="52"/>
        <v>2.7341936482534623</v>
      </c>
      <c r="BJ11" s="386">
        <f t="shared" si="53"/>
        <v>16.286905768672021</v>
      </c>
      <c r="BK11" s="386">
        <f t="shared" si="54"/>
        <v>3.2669999999999991E-2</v>
      </c>
      <c r="BL11" s="386">
        <f t="shared" si="55"/>
        <v>1.2659186776538582</v>
      </c>
      <c r="BP11" t="s">
        <v>138</v>
      </c>
      <c r="BQ11" s="18">
        <v>90</v>
      </c>
      <c r="BR11" s="18">
        <v>90</v>
      </c>
      <c r="BS11" s="18">
        <v>90</v>
      </c>
      <c r="BT11" s="19">
        <f>250000*(12-Vdd)*BS11/1000000000+((250000*BS9/1000000000*Vdd)*2.5/(2*4))</f>
        <v>0.14226562500000001</v>
      </c>
      <c r="BU11">
        <f t="shared" si="42"/>
        <v>11.381250000000001</v>
      </c>
      <c r="BV11">
        <f t="shared" si="42"/>
        <v>14.2265625</v>
      </c>
      <c r="BW11">
        <f t="shared" si="42"/>
        <v>17.071875000000002</v>
      </c>
      <c r="BX11">
        <f t="shared" si="42"/>
        <v>19.917187500000001</v>
      </c>
      <c r="BY11">
        <f t="shared" si="42"/>
        <v>22.762500000000003</v>
      </c>
      <c r="BZ11">
        <f t="shared" si="42"/>
        <v>25.607812500000001</v>
      </c>
      <c r="CA11">
        <f t="shared" si="42"/>
        <v>2.8453125000000004</v>
      </c>
      <c r="CB11">
        <f t="shared" si="42"/>
        <v>4.2679687500000005</v>
      </c>
      <c r="CC11">
        <f t="shared" si="42"/>
        <v>5.6906250000000007</v>
      </c>
      <c r="CD11">
        <f t="shared" si="42"/>
        <v>7.11328125</v>
      </c>
    </row>
    <row r="12" spans="1:82" x14ac:dyDescent="0.2">
      <c r="A12" s="22" t="s">
        <v>5</v>
      </c>
      <c r="B12" s="5">
        <f>Vout</f>
        <v>12</v>
      </c>
      <c r="C12" s="482" t="s">
        <v>0</v>
      </c>
      <c r="D12" s="21" t="s">
        <v>5</v>
      </c>
      <c r="G12">
        <v>3</v>
      </c>
      <c r="H12" s="610">
        <f t="shared" si="0"/>
        <v>6.45</v>
      </c>
      <c r="I12" s="4" t="str">
        <f t="shared" si="1"/>
        <v>BOOST</v>
      </c>
      <c r="J12">
        <f t="shared" si="43"/>
        <v>2</v>
      </c>
      <c r="K12">
        <f t="shared" si="2"/>
        <v>12</v>
      </c>
      <c r="L12" s="4">
        <f t="shared" si="3"/>
        <v>24.806201550387595</v>
      </c>
      <c r="M12" s="4">
        <f t="shared" si="4"/>
        <v>22.95769206804162</v>
      </c>
      <c r="N12" s="386">
        <f t="shared" si="5"/>
        <v>1</v>
      </c>
      <c r="O12" s="386">
        <f t="shared" si="44"/>
        <v>0.4772993746743095</v>
      </c>
      <c r="P12" s="4">
        <f t="shared" si="6"/>
        <v>2.5268605192637286</v>
      </c>
      <c r="Q12" s="386">
        <f t="shared" si="7"/>
        <v>24.816924078111892</v>
      </c>
      <c r="R12" s="386">
        <f t="shared" si="8"/>
        <v>2.4710597165866925</v>
      </c>
      <c r="S12" s="386">
        <f t="shared" si="45"/>
        <v>0.11886402742058784</v>
      </c>
      <c r="T12" s="386">
        <f t="shared" si="46"/>
        <v>2.5899237440072804</v>
      </c>
      <c r="U12" s="4">
        <f t="shared" si="9"/>
        <v>11.48817538860108</v>
      </c>
      <c r="V12" s="386">
        <f t="shared" si="10"/>
        <v>0.26395634751851921</v>
      </c>
      <c r="W12" s="386">
        <f t="shared" si="47"/>
        <v>0.26395634751851921</v>
      </c>
      <c r="X12" s="386">
        <f t="shared" si="11"/>
        <v>0.72944180050077567</v>
      </c>
      <c r="Y12" s="386">
        <f t="shared" si="12"/>
        <v>1.0641706806356268E-3</v>
      </c>
      <c r="Z12" s="603">
        <f t="shared" si="48"/>
        <v>1.0641706806356268E-3</v>
      </c>
      <c r="AA12" s="386">
        <f t="shared" si="13"/>
        <v>24.816924078111892</v>
      </c>
      <c r="AB12" s="386">
        <f t="shared" si="14"/>
        <v>3.510514407982988</v>
      </c>
      <c r="AC12" s="386">
        <f t="shared" si="15"/>
        <v>0</v>
      </c>
      <c r="AD12">
        <f t="shared" si="16"/>
        <v>0</v>
      </c>
      <c r="AE12" s="386">
        <f t="shared" si="17"/>
        <v>11.784318112232176</v>
      </c>
      <c r="AF12" s="386">
        <f t="shared" si="18"/>
        <v>0</v>
      </c>
      <c r="AG12" s="386">
        <f t="shared" si="19"/>
        <v>0</v>
      </c>
      <c r="AH12" s="386">
        <f t="shared" si="20"/>
        <v>0</v>
      </c>
      <c r="AI12" s="386">
        <f t="shared" si="21"/>
        <v>0</v>
      </c>
      <c r="AJ12" s="386">
        <f t="shared" si="22"/>
        <v>17.14523273578143</v>
      </c>
      <c r="AK12" s="386">
        <f t="shared" si="23"/>
        <v>0.55852211057181123</v>
      </c>
      <c r="AL12" s="386">
        <f t="shared" si="24"/>
        <v>0.2376768773870255</v>
      </c>
      <c r="AM12">
        <f t="shared" si="25"/>
        <v>0</v>
      </c>
      <c r="AN12" s="386">
        <f t="shared" si="26"/>
        <v>0.89632213396129523</v>
      </c>
      <c r="AO12" s="386">
        <f t="shared" si="27"/>
        <v>17.942149122517584</v>
      </c>
      <c r="AP12" s="386">
        <f t="shared" si="28"/>
        <v>0.61164935875585114</v>
      </c>
      <c r="AQ12" s="386">
        <f t="shared" si="29"/>
        <v>0.49612403100775193</v>
      </c>
      <c r="AR12" s="386">
        <f t="shared" si="30"/>
        <v>1.2621751089716209</v>
      </c>
      <c r="AS12" s="386">
        <f t="shared" si="31"/>
        <v>3.510514407982988</v>
      </c>
      <c r="AT12" s="386">
        <f t="shared" si="32"/>
        <v>0</v>
      </c>
      <c r="AU12" s="386">
        <f t="shared" si="33"/>
        <v>9.8999999999999977E-2</v>
      </c>
      <c r="AV12" s="386">
        <f t="shared" si="34"/>
        <v>1.1758360222564448</v>
      </c>
      <c r="AW12" s="386">
        <f t="shared" si="35"/>
        <v>0.59328000000000003</v>
      </c>
      <c r="AX12" s="386">
        <f t="shared" si="36"/>
        <v>3.6000000000000004E-2</v>
      </c>
      <c r="AY12" s="386">
        <f t="shared" si="37"/>
        <v>0.13200000000000001</v>
      </c>
      <c r="AZ12" s="386">
        <f t="shared" si="38"/>
        <v>4.3499999999999997E-2</v>
      </c>
      <c r="BA12" s="386">
        <f t="shared" si="56"/>
        <v>0.16800000000000001</v>
      </c>
      <c r="BB12" s="386">
        <f t="shared" si="57"/>
        <v>18.833875639627973</v>
      </c>
      <c r="BC12">
        <f t="shared" si="39"/>
        <v>144</v>
      </c>
      <c r="BD12" s="604">
        <f t="shared" si="50"/>
        <v>0.88433687053356314</v>
      </c>
      <c r="BE12" s="614">
        <f t="shared" si="40"/>
        <v>49.76610669806476</v>
      </c>
      <c r="BF12" s="614">
        <f t="shared" si="41"/>
        <v>63.108755448581043</v>
      </c>
      <c r="BG12" s="9"/>
      <c r="BH12" s="4">
        <f t="shared" si="51"/>
        <v>88.433687053356309</v>
      </c>
      <c r="BI12" s="386">
        <f t="shared" si="52"/>
        <v>2.5899237440072804</v>
      </c>
      <c r="BJ12" s="386">
        <f t="shared" si="53"/>
        <v>14.041815355165092</v>
      </c>
      <c r="BK12" s="386">
        <f t="shared" si="54"/>
        <v>3.2669999999999991E-2</v>
      </c>
      <c r="BL12" s="386">
        <f t="shared" si="55"/>
        <v>1.1758360222564448</v>
      </c>
      <c r="BP12" t="s">
        <v>143</v>
      </c>
      <c r="BQ12" s="18">
        <v>60</v>
      </c>
      <c r="BR12" s="18">
        <v>60</v>
      </c>
      <c r="BS12" s="18">
        <v>60</v>
      </c>
      <c r="BT12" s="19">
        <f>250000*(18-Vdd)*BS12/1000000000+((250000*BS9/1000000000*Vdd)*2.5/(2*4))</f>
        <v>0.198515625</v>
      </c>
      <c r="BU12">
        <f t="shared" si="42"/>
        <v>15.88125</v>
      </c>
      <c r="BV12">
        <f t="shared" si="42"/>
        <v>19.8515625</v>
      </c>
      <c r="BW12">
        <f t="shared" si="42"/>
        <v>23.821874999999999</v>
      </c>
      <c r="BX12">
        <f t="shared" si="42"/>
        <v>27.792187500000001</v>
      </c>
      <c r="BY12">
        <f t="shared" si="42"/>
        <v>31.762499999999999</v>
      </c>
      <c r="BZ12">
        <f t="shared" si="42"/>
        <v>35.732812500000001</v>
      </c>
      <c r="CA12">
        <f t="shared" si="42"/>
        <v>3.9703124999999999</v>
      </c>
      <c r="CB12">
        <f t="shared" si="42"/>
        <v>5.9554687499999996</v>
      </c>
      <c r="CC12">
        <f t="shared" si="42"/>
        <v>7.9406249999999998</v>
      </c>
      <c r="CD12">
        <f t="shared" si="42"/>
        <v>9.92578125</v>
      </c>
    </row>
    <row r="13" spans="1:82" x14ac:dyDescent="0.2">
      <c r="A13" s="22" t="s">
        <v>7</v>
      </c>
      <c r="B13" s="5">
        <f>Fsw/1000</f>
        <v>250</v>
      </c>
      <c r="C13" s="482" t="s">
        <v>3</v>
      </c>
      <c r="D13" s="21" t="s">
        <v>98</v>
      </c>
      <c r="G13">
        <v>4</v>
      </c>
      <c r="H13" s="610">
        <f t="shared" si="0"/>
        <v>6.6</v>
      </c>
      <c r="I13" s="4" t="str">
        <f t="shared" si="1"/>
        <v>BOOST</v>
      </c>
      <c r="J13">
        <f t="shared" si="43"/>
        <v>2</v>
      </c>
      <c r="K13">
        <f t="shared" si="2"/>
        <v>12</v>
      </c>
      <c r="L13" s="4">
        <f t="shared" si="3"/>
        <v>24.242424242424246</v>
      </c>
      <c r="M13" s="4">
        <f t="shared" si="4"/>
        <v>22.403041825095059</v>
      </c>
      <c r="N13" s="386">
        <f t="shared" si="5"/>
        <v>1</v>
      </c>
      <c r="O13" s="386">
        <f t="shared" si="44"/>
        <v>0.46435845213849292</v>
      </c>
      <c r="P13" s="4">
        <f t="shared" si="6"/>
        <v>2.5196909949694106</v>
      </c>
      <c r="Q13" s="386">
        <f t="shared" si="7"/>
        <v>24.253333861049349</v>
      </c>
      <c r="R13" s="386">
        <f t="shared" si="8"/>
        <v>2.3393331129251425</v>
      </c>
      <c r="S13" s="386">
        <f t="shared" si="45"/>
        <v>0.11808842696171364</v>
      </c>
      <c r="T13" s="386">
        <f t="shared" si="46"/>
        <v>2.4574215398868562</v>
      </c>
      <c r="U13" s="4">
        <f t="shared" si="9"/>
        <v>11.193532219178918</v>
      </c>
      <c r="V13" s="386">
        <f t="shared" si="10"/>
        <v>0.25059032708359302</v>
      </c>
      <c r="W13" s="386">
        <f t="shared" si="47"/>
        <v>0.25059032708359302</v>
      </c>
      <c r="X13" s="386">
        <f t="shared" si="11"/>
        <v>0.7273721371101326</v>
      </c>
      <c r="Y13" s="386">
        <f t="shared" si="12"/>
        <v>1.058140451688323E-3</v>
      </c>
      <c r="Z13" s="603">
        <f t="shared" si="48"/>
        <v>1.058140451688323E-3</v>
      </c>
      <c r="AA13" s="386">
        <f t="shared" si="13"/>
        <v>24.253333861049349</v>
      </c>
      <c r="AB13" s="386">
        <f t="shared" si="14"/>
        <v>3.3528779592404812</v>
      </c>
      <c r="AC13" s="386">
        <f t="shared" si="15"/>
        <v>0</v>
      </c>
      <c r="AD13">
        <f t="shared" si="16"/>
        <v>0</v>
      </c>
      <c r="AE13" s="386">
        <f t="shared" si="17"/>
        <v>10.177988868676684</v>
      </c>
      <c r="AF13" s="386">
        <f t="shared" si="18"/>
        <v>0</v>
      </c>
      <c r="AG13" s="386">
        <f t="shared" si="19"/>
        <v>0</v>
      </c>
      <c r="AH13" s="386">
        <f t="shared" si="20"/>
        <v>0</v>
      </c>
      <c r="AI13" s="386">
        <f t="shared" si="21"/>
        <v>0</v>
      </c>
      <c r="AJ13" s="386">
        <f t="shared" si="22"/>
        <v>16.527155853015238</v>
      </c>
      <c r="AK13" s="386">
        <f t="shared" si="23"/>
        <v>0.518979073120726</v>
      </c>
      <c r="AL13" s="386">
        <f t="shared" si="24"/>
        <v>0.23227513017368409</v>
      </c>
      <c r="AM13">
        <f t="shared" si="25"/>
        <v>0</v>
      </c>
      <c r="AN13" s="386">
        <f t="shared" si="26"/>
        <v>0.8382623240922995</v>
      </c>
      <c r="AO13" s="386">
        <f t="shared" si="27"/>
        <v>17.750417538347289</v>
      </c>
      <c r="AP13" s="386">
        <f t="shared" si="28"/>
        <v>0.59864691329276731</v>
      </c>
      <c r="AQ13" s="386">
        <f t="shared" si="29"/>
        <v>0.48484848484848492</v>
      </c>
      <c r="AR13" s="386">
        <f t="shared" si="30"/>
        <v>1.2308662549859679</v>
      </c>
      <c r="AS13" s="386">
        <f t="shared" si="31"/>
        <v>3.3528779592404812</v>
      </c>
      <c r="AT13" s="386">
        <f t="shared" si="32"/>
        <v>0</v>
      </c>
      <c r="AU13" s="386">
        <f t="shared" si="33"/>
        <v>9.8999999999999977E-2</v>
      </c>
      <c r="AV13" s="386">
        <f t="shared" si="34"/>
        <v>1.0925875223594232</v>
      </c>
      <c r="AW13" s="386">
        <f t="shared" si="35"/>
        <v>0.59328000000000003</v>
      </c>
      <c r="AX13" s="386">
        <f t="shared" si="36"/>
        <v>3.6000000000000004E-2</v>
      </c>
      <c r="AY13" s="386">
        <f t="shared" si="37"/>
        <v>0.13200000000000001</v>
      </c>
      <c r="AZ13" s="386">
        <f t="shared" si="38"/>
        <v>4.3499999999999997E-2</v>
      </c>
      <c r="BA13" s="386">
        <f t="shared" si="56"/>
        <v>0.16800000000000001</v>
      </c>
      <c r="BB13" s="386">
        <f t="shared" si="57"/>
        <v>16.909054977536513</v>
      </c>
      <c r="BC13">
        <f t="shared" si="39"/>
        <v>144</v>
      </c>
      <c r="BD13" s="604">
        <f t="shared" si="50"/>
        <v>0.89491545407499229</v>
      </c>
      <c r="BE13" s="614">
        <f t="shared" si="40"/>
        <v>46.863116204614975</v>
      </c>
      <c r="BF13" s="614">
        <f t="shared" si="41"/>
        <v>61.543312749298394</v>
      </c>
      <c r="BG13" s="9"/>
      <c r="BH13" s="4">
        <f t="shared" si="51"/>
        <v>89.491545407499231</v>
      </c>
      <c r="BI13" s="386">
        <f t="shared" si="52"/>
        <v>2.4574215398868562</v>
      </c>
      <c r="BJ13" s="386">
        <f t="shared" si="53"/>
        <v>12.346117447754951</v>
      </c>
      <c r="BK13" s="386">
        <f t="shared" si="54"/>
        <v>3.2669999999999991E-2</v>
      </c>
      <c r="BL13" s="386">
        <f t="shared" si="55"/>
        <v>1.0925875223594232</v>
      </c>
      <c r="BP13" t="s">
        <v>139</v>
      </c>
      <c r="BQ13" s="18">
        <v>30</v>
      </c>
      <c r="BR13" s="18">
        <v>30</v>
      </c>
      <c r="BS13" s="18">
        <v>30</v>
      </c>
      <c r="BT13" s="19">
        <f>500000*(5-Vdd)*BS13/1000000000+((500000*BS9/1000000000*Vdd)*2.5/(2*4))</f>
        <v>4.4531250000000001E-2</v>
      </c>
      <c r="BU13">
        <f t="shared" si="42"/>
        <v>3.5625</v>
      </c>
      <c r="BV13">
        <f t="shared" si="42"/>
        <v>4.453125</v>
      </c>
      <c r="BW13">
        <f t="shared" si="42"/>
        <v>5.34375</v>
      </c>
      <c r="BX13">
        <f t="shared" si="42"/>
        <v>6.234375</v>
      </c>
      <c r="BY13">
        <f t="shared" si="42"/>
        <v>7.125</v>
      </c>
      <c r="BZ13">
        <f t="shared" si="42"/>
        <v>8.015625</v>
      </c>
      <c r="CA13">
        <f t="shared" si="42"/>
        <v>0.890625</v>
      </c>
      <c r="CB13">
        <f t="shared" si="42"/>
        <v>1.3359375</v>
      </c>
      <c r="CC13">
        <f t="shared" si="42"/>
        <v>1.78125</v>
      </c>
      <c r="CD13">
        <f t="shared" si="42"/>
        <v>2.2265625</v>
      </c>
    </row>
    <row r="14" spans="1:82" x14ac:dyDescent="0.2">
      <c r="A14" s="22" t="s">
        <v>6</v>
      </c>
      <c r="B14" s="5">
        <f>Iout</f>
        <v>12</v>
      </c>
      <c r="C14" s="482" t="s">
        <v>2</v>
      </c>
      <c r="D14" s="21" t="s">
        <v>99</v>
      </c>
      <c r="G14">
        <v>5</v>
      </c>
      <c r="H14" s="610">
        <f t="shared" si="0"/>
        <v>6.75</v>
      </c>
      <c r="I14" s="4" t="str">
        <f t="shared" si="1"/>
        <v>BOOST</v>
      </c>
      <c r="J14">
        <f t="shared" si="43"/>
        <v>2</v>
      </c>
      <c r="K14">
        <f t="shared" si="2"/>
        <v>12</v>
      </c>
      <c r="L14" s="4">
        <f t="shared" si="3"/>
        <v>23.703703703703702</v>
      </c>
      <c r="M14" s="4">
        <f t="shared" si="4"/>
        <v>21.875347360063518</v>
      </c>
      <c r="N14" s="386">
        <f t="shared" si="5"/>
        <v>1</v>
      </c>
      <c r="O14" s="386">
        <f t="shared" si="44"/>
        <v>0.45143728222996515</v>
      </c>
      <c r="P14" s="4">
        <f t="shared" si="6"/>
        <v>2.5091232774029866</v>
      </c>
      <c r="Q14" s="386">
        <f t="shared" si="7"/>
        <v>23.714767781027859</v>
      </c>
      <c r="R14" s="386">
        <f t="shared" si="8"/>
        <v>2.2183596522680729</v>
      </c>
      <c r="S14" s="386">
        <f t="shared" si="45"/>
        <v>0.11695044594390072</v>
      </c>
      <c r="T14" s="386">
        <f t="shared" si="46"/>
        <v>2.3353100982119734</v>
      </c>
      <c r="U14" s="4">
        <f t="shared" si="9"/>
        <v>10.90577461040448</v>
      </c>
      <c r="V14" s="386">
        <f t="shared" si="10"/>
        <v>0.23787183970588599</v>
      </c>
      <c r="W14" s="386">
        <f t="shared" si="47"/>
        <v>0.23787183970588599</v>
      </c>
      <c r="X14" s="386">
        <f t="shared" si="11"/>
        <v>0.72432149981928518</v>
      </c>
      <c r="Y14" s="386">
        <f t="shared" si="12"/>
        <v>1.0492832702009174E-3</v>
      </c>
      <c r="Z14" s="603">
        <f t="shared" si="48"/>
        <v>1.0492832702009174E-3</v>
      </c>
      <c r="AA14" s="386">
        <f t="shared" si="13"/>
        <v>23.714767781027859</v>
      </c>
      <c r="AB14" s="386">
        <f t="shared" si="14"/>
        <v>3.2056242021760393</v>
      </c>
      <c r="AC14" s="386">
        <f t="shared" si="15"/>
        <v>0</v>
      </c>
      <c r="AD14">
        <f t="shared" si="16"/>
        <v>0</v>
      </c>
      <c r="AE14" s="386">
        <f t="shared" si="17"/>
        <v>8.9324215308284334</v>
      </c>
      <c r="AF14" s="386">
        <f t="shared" si="18"/>
        <v>0</v>
      </c>
      <c r="AG14" s="386">
        <f t="shared" si="19"/>
        <v>0</v>
      </c>
      <c r="AH14" s="386">
        <f t="shared" si="20"/>
        <v>0</v>
      </c>
      <c r="AI14" s="386">
        <f t="shared" si="21"/>
        <v>0</v>
      </c>
      <c r="AJ14" s="386">
        <f t="shared" si="22"/>
        <v>15.933734915740226</v>
      </c>
      <c r="AK14" s="386">
        <f t="shared" si="23"/>
        <v>0.48237942589365046</v>
      </c>
      <c r="AL14" s="386">
        <f t="shared" si="24"/>
        <v>0.2271134606142689</v>
      </c>
      <c r="AM14">
        <f t="shared" si="25"/>
        <v>0</v>
      </c>
      <c r="AN14" s="386">
        <f t="shared" si="26"/>
        <v>0.78525063677826379</v>
      </c>
      <c r="AO14" s="386">
        <f t="shared" si="27"/>
        <v>17.564347484122429</v>
      </c>
      <c r="AP14" s="386">
        <f t="shared" si="28"/>
        <v>0.58616197483169596</v>
      </c>
      <c r="AQ14" s="386">
        <f t="shared" si="29"/>
        <v>0.47407407407407404</v>
      </c>
      <c r="AR14" s="386">
        <f t="shared" si="30"/>
        <v>1.2010364255101345</v>
      </c>
      <c r="AS14" s="386">
        <f t="shared" si="31"/>
        <v>3.2056242021760393</v>
      </c>
      <c r="AT14" s="386">
        <f t="shared" si="32"/>
        <v>0</v>
      </c>
      <c r="AU14" s="386">
        <f t="shared" si="33"/>
        <v>9.8999999999999977E-2</v>
      </c>
      <c r="AV14" s="386">
        <f t="shared" si="34"/>
        <v>1.0155356334603167</v>
      </c>
      <c r="AW14" s="386">
        <f t="shared" si="35"/>
        <v>0.59328000000000003</v>
      </c>
      <c r="AX14" s="386">
        <f t="shared" si="36"/>
        <v>3.6000000000000004E-2</v>
      </c>
      <c r="AY14" s="386">
        <f t="shared" si="37"/>
        <v>0.13200000000000001</v>
      </c>
      <c r="AZ14" s="386">
        <f t="shared" si="38"/>
        <v>4.3499999999999997E-2</v>
      </c>
      <c r="BA14" s="386">
        <f t="shared" si="56"/>
        <v>0.16800000000000001</v>
      </c>
      <c r="BB14" s="386">
        <f t="shared" si="57"/>
        <v>15.368755447765206</v>
      </c>
      <c r="BC14">
        <f t="shared" si="39"/>
        <v>144</v>
      </c>
      <c r="BD14" s="604">
        <f t="shared" si="50"/>
        <v>0.90356481479330819</v>
      </c>
      <c r="BE14" s="614">
        <f t="shared" si="40"/>
        <v>44.212531838913186</v>
      </c>
      <c r="BF14" s="614">
        <f t="shared" si="41"/>
        <v>60.051821275506725</v>
      </c>
      <c r="BG14" s="9"/>
      <c r="BH14" s="4">
        <f t="shared" si="51"/>
        <v>90.356481479330824</v>
      </c>
      <c r="BI14" s="386">
        <f t="shared" si="52"/>
        <v>2.3353100982119734</v>
      </c>
      <c r="BJ14" s="386">
        <f t="shared" si="53"/>
        <v>11.017708593116831</v>
      </c>
      <c r="BK14" s="386">
        <f t="shared" si="54"/>
        <v>3.2669999999999991E-2</v>
      </c>
      <c r="BL14" s="386">
        <f t="shared" si="55"/>
        <v>1.0155356334603167</v>
      </c>
      <c r="BP14" t="s">
        <v>142</v>
      </c>
      <c r="BQ14" s="18">
        <v>45</v>
      </c>
      <c r="BR14" s="18">
        <v>45</v>
      </c>
      <c r="BS14" s="18">
        <v>45</v>
      </c>
      <c r="BT14" s="19">
        <f>500000*(12-Vdd)*BS14/1000000000+((500000*BS9/1000000000*Vdd)*2.5/(2*4))</f>
        <v>0.18328125000000001</v>
      </c>
      <c r="BU14">
        <f t="shared" si="42"/>
        <v>14.662500000000001</v>
      </c>
      <c r="BV14">
        <f t="shared" si="42"/>
        <v>18.328125</v>
      </c>
      <c r="BW14">
        <f t="shared" si="42"/>
        <v>21.993750000000002</v>
      </c>
      <c r="BX14">
        <f t="shared" si="42"/>
        <v>25.659375000000001</v>
      </c>
      <c r="BY14">
        <f t="shared" si="42"/>
        <v>29.325000000000003</v>
      </c>
      <c r="BZ14">
        <f t="shared" si="42"/>
        <v>32.990625000000001</v>
      </c>
      <c r="CA14">
        <f t="shared" si="42"/>
        <v>3.6656250000000004</v>
      </c>
      <c r="CB14">
        <f t="shared" si="42"/>
        <v>5.4984375000000005</v>
      </c>
      <c r="CC14">
        <f t="shared" si="42"/>
        <v>7.3312500000000007</v>
      </c>
      <c r="CD14">
        <f t="shared" si="42"/>
        <v>9.1640625</v>
      </c>
    </row>
    <row r="15" spans="1:82" x14ac:dyDescent="0.2">
      <c r="A15" s="23" t="s">
        <v>87</v>
      </c>
      <c r="B15" s="5">
        <f>Ta</f>
        <v>25</v>
      </c>
      <c r="C15" s="482" t="s">
        <v>673</v>
      </c>
      <c r="D15" s="21" t="s">
        <v>100</v>
      </c>
      <c r="G15">
        <v>6</v>
      </c>
      <c r="H15" s="610">
        <f t="shared" si="0"/>
        <v>6.9</v>
      </c>
      <c r="I15" s="4" t="str">
        <f t="shared" si="1"/>
        <v>BOOST</v>
      </c>
      <c r="J15">
        <f t="shared" si="43"/>
        <v>2</v>
      </c>
      <c r="K15">
        <f t="shared" si="2"/>
        <v>12</v>
      </c>
      <c r="L15" s="4">
        <f t="shared" si="3"/>
        <v>23.188405797101446</v>
      </c>
      <c r="M15" s="4">
        <f t="shared" si="4"/>
        <v>21.372642531974851</v>
      </c>
      <c r="N15" s="386">
        <f t="shared" si="5"/>
        <v>1</v>
      </c>
      <c r="O15" s="386">
        <f t="shared" si="44"/>
        <v>0.43853456669912366</v>
      </c>
      <c r="P15" s="4">
        <f t="shared" si="6"/>
        <v>2.4951710837903884</v>
      </c>
      <c r="Q15" s="386">
        <f t="shared" si="7"/>
        <v>23.19959022567345</v>
      </c>
      <c r="R15" s="386">
        <f t="shared" si="8"/>
        <v>2.1069541681603154</v>
      </c>
      <c r="S15" s="386">
        <f t="shared" si="45"/>
        <v>0.11545755409586442</v>
      </c>
      <c r="T15" s="386">
        <f t="shared" si="46"/>
        <v>2.2224117222561799</v>
      </c>
      <c r="U15" s="4">
        <f t="shared" si="9"/>
        <v>10.624355938356878</v>
      </c>
      <c r="V15" s="386">
        <f t="shared" si="10"/>
        <v>0.22575387820979811</v>
      </c>
      <c r="W15" s="386">
        <f t="shared" si="47"/>
        <v>0.22575387820979811</v>
      </c>
      <c r="X15" s="386">
        <f t="shared" si="11"/>
        <v>0.72029384845027555</v>
      </c>
      <c r="Y15" s="386">
        <f t="shared" si="12"/>
        <v>1.0376464562306172E-3</v>
      </c>
      <c r="Z15" s="603">
        <f t="shared" si="48"/>
        <v>1.0376464562306172E-3</v>
      </c>
      <c r="AA15" s="386">
        <f t="shared" si="13"/>
        <v>23.19959022567345</v>
      </c>
      <c r="AB15" s="386">
        <f t="shared" si="14"/>
        <v>3.0678596238432299</v>
      </c>
      <c r="AC15" s="386">
        <f t="shared" si="15"/>
        <v>0</v>
      </c>
      <c r="AD15">
        <f t="shared" si="16"/>
        <v>0</v>
      </c>
      <c r="AE15" s="386">
        <f t="shared" si="17"/>
        <v>7.9390184628963771</v>
      </c>
      <c r="AF15" s="386">
        <f t="shared" si="18"/>
        <v>0</v>
      </c>
      <c r="AG15" s="386">
        <f t="shared" si="19"/>
        <v>0</v>
      </c>
      <c r="AH15" s="386">
        <f t="shared" si="20"/>
        <v>0</v>
      </c>
      <c r="AI15" s="386">
        <f t="shared" si="21"/>
        <v>0</v>
      </c>
      <c r="AJ15" s="386">
        <f t="shared" si="22"/>
        <v>15.363219296885019</v>
      </c>
      <c r="AK15" s="386">
        <f t="shared" si="23"/>
        <v>0.4484541636119424</v>
      </c>
      <c r="AL15" s="386">
        <f t="shared" si="24"/>
        <v>0.22217621147048042</v>
      </c>
      <c r="AM15">
        <f t="shared" si="25"/>
        <v>0</v>
      </c>
      <c r="AN15" s="386">
        <f t="shared" si="26"/>
        <v>0.73670616444303549</v>
      </c>
      <c r="AO15" s="386">
        <f t="shared" si="27"/>
        <v>17.383684289441721</v>
      </c>
      <c r="AP15" s="386">
        <f t="shared" si="28"/>
        <v>0.57416571100246749</v>
      </c>
      <c r="AQ15" s="386">
        <f t="shared" si="29"/>
        <v>0.46376811594202894</v>
      </c>
      <c r="AR15" s="386">
        <f t="shared" si="30"/>
        <v>1.1725855049801155</v>
      </c>
      <c r="AS15" s="386">
        <f t="shared" si="31"/>
        <v>3.0678596238432299</v>
      </c>
      <c r="AT15" s="386">
        <f t="shared" si="32"/>
        <v>0</v>
      </c>
      <c r="AU15" s="386">
        <f t="shared" si="33"/>
        <v>9.8999999999999977E-2</v>
      </c>
      <c r="AV15" s="386">
        <f t="shared" si="34"/>
        <v>0.94411402865672089</v>
      </c>
      <c r="AW15" s="386">
        <f t="shared" si="35"/>
        <v>0.59328000000000003</v>
      </c>
      <c r="AX15" s="386">
        <f t="shared" si="36"/>
        <v>3.6000000000000004E-2</v>
      </c>
      <c r="AY15" s="386">
        <f t="shared" si="37"/>
        <v>0.13200000000000001</v>
      </c>
      <c r="AZ15" s="386">
        <f t="shared" si="38"/>
        <v>4.3499999999999997E-2</v>
      </c>
      <c r="BA15" s="386">
        <f t="shared" si="56"/>
        <v>0.16800000000000001</v>
      </c>
      <c r="BB15" s="386">
        <f t="shared" si="57"/>
        <v>14.101907407898457</v>
      </c>
      <c r="BC15">
        <f t="shared" si="39"/>
        <v>144</v>
      </c>
      <c r="BD15" s="604">
        <f t="shared" si="50"/>
        <v>0.9108049508124153</v>
      </c>
      <c r="BE15" s="614">
        <f t="shared" si="40"/>
        <v>41.785308222151777</v>
      </c>
      <c r="BF15" s="614">
        <f t="shared" si="41"/>
        <v>58.629275249005772</v>
      </c>
      <c r="BG15" s="9"/>
      <c r="BH15" s="4">
        <f t="shared" si="51"/>
        <v>91.080495081241537</v>
      </c>
      <c r="BI15" s="386">
        <f t="shared" si="52"/>
        <v>2.2224117222561799</v>
      </c>
      <c r="BJ15" s="386">
        <f t="shared" si="53"/>
        <v>9.9473101323195294</v>
      </c>
      <c r="BK15" s="386">
        <f t="shared" si="54"/>
        <v>3.2669999999999991E-2</v>
      </c>
      <c r="BL15" s="386">
        <f t="shared" si="55"/>
        <v>0.94411402865672089</v>
      </c>
      <c r="BP15" t="s">
        <v>140</v>
      </c>
      <c r="BQ15" s="18">
        <v>20</v>
      </c>
      <c r="BR15" s="18">
        <v>20</v>
      </c>
      <c r="BS15" s="18">
        <v>20</v>
      </c>
      <c r="BT15" s="19">
        <f>1000000*(5-Vdd)*BS15/1000000000+((1000000*BS9/1000000000*Vdd)*2.5/(2*4))</f>
        <v>0.1140625</v>
      </c>
      <c r="BU15">
        <f t="shared" si="42"/>
        <v>9.125</v>
      </c>
      <c r="BV15">
        <f t="shared" si="42"/>
        <v>11.40625</v>
      </c>
      <c r="BW15">
        <f t="shared" si="42"/>
        <v>13.6875</v>
      </c>
      <c r="BX15">
        <f t="shared" si="42"/>
        <v>15.96875</v>
      </c>
      <c r="BY15">
        <f t="shared" si="42"/>
        <v>18.25</v>
      </c>
      <c r="BZ15">
        <f t="shared" si="42"/>
        <v>20.53125</v>
      </c>
      <c r="CA15">
        <f t="shared" si="42"/>
        <v>2.28125</v>
      </c>
      <c r="CB15">
        <f t="shared" si="42"/>
        <v>3.421875</v>
      </c>
      <c r="CC15">
        <f t="shared" si="42"/>
        <v>4.5625</v>
      </c>
      <c r="CD15">
        <f t="shared" si="42"/>
        <v>5.703125</v>
      </c>
    </row>
    <row r="16" spans="1:82" x14ac:dyDescent="0.2">
      <c r="A16" s="490" t="s">
        <v>684</v>
      </c>
      <c r="B16" s="5">
        <f>Vdd</f>
        <v>7.5</v>
      </c>
      <c r="C16" s="482" t="s">
        <v>0</v>
      </c>
      <c r="D16" s="482" t="s">
        <v>683</v>
      </c>
      <c r="G16">
        <v>7</v>
      </c>
      <c r="H16" s="610">
        <f t="shared" si="0"/>
        <v>7.05</v>
      </c>
      <c r="I16" s="4" t="str">
        <f t="shared" si="1"/>
        <v>BOOST</v>
      </c>
      <c r="J16">
        <f t="shared" si="43"/>
        <v>2</v>
      </c>
      <c r="K16">
        <f t="shared" si="2"/>
        <v>12</v>
      </c>
      <c r="L16" s="4">
        <f t="shared" si="3"/>
        <v>22.695035460992909</v>
      </c>
      <c r="M16" s="4">
        <f t="shared" si="4"/>
        <v>20.893151537145524</v>
      </c>
      <c r="N16" s="386">
        <f t="shared" si="5"/>
        <v>1</v>
      </c>
      <c r="O16" s="386">
        <f t="shared" si="44"/>
        <v>0.42564911862791804</v>
      </c>
      <c r="P16" s="4">
        <f t="shared" si="6"/>
        <v>2.4778469440814579</v>
      </c>
      <c r="Q16" s="386">
        <f t="shared" si="7"/>
        <v>22.706304815305888</v>
      </c>
      <c r="R16" s="386">
        <f t="shared" si="8"/>
        <v>2.0040952808817978</v>
      </c>
      <c r="S16" s="386">
        <f t="shared" si="45"/>
        <v>0.1136189547330315</v>
      </c>
      <c r="T16" s="386">
        <f t="shared" si="46"/>
        <v>2.1177142356148293</v>
      </c>
      <c r="U16" s="4">
        <f t="shared" si="9"/>
        <v>10.348767829654893</v>
      </c>
      <c r="V16" s="386">
        <f t="shared" si="10"/>
        <v>0.2141939911842001</v>
      </c>
      <c r="W16" s="386">
        <f t="shared" si="47"/>
        <v>0.2141939911842001</v>
      </c>
      <c r="X16" s="386">
        <f t="shared" si="11"/>
        <v>0.71529280008806073</v>
      </c>
      <c r="Y16" s="386">
        <f t="shared" si="12"/>
        <v>1.0232875797156369E-3</v>
      </c>
      <c r="Z16" s="603">
        <f t="shared" si="48"/>
        <v>1.0232875797156369E-3</v>
      </c>
      <c r="AA16" s="386">
        <f t="shared" si="13"/>
        <v>22.706304815305888</v>
      </c>
      <c r="AB16" s="386">
        <f t="shared" si="14"/>
        <v>2.9387847866838253</v>
      </c>
      <c r="AC16" s="386">
        <f t="shared" si="15"/>
        <v>0</v>
      </c>
      <c r="AD16">
        <f t="shared" si="16"/>
        <v>0</v>
      </c>
      <c r="AE16" s="386">
        <f t="shared" si="17"/>
        <v>7.1287674564456989</v>
      </c>
      <c r="AF16" s="386">
        <f t="shared" si="18"/>
        <v>0</v>
      </c>
      <c r="AG16" s="386">
        <f t="shared" si="19"/>
        <v>0</v>
      </c>
      <c r="AH16" s="386">
        <f t="shared" si="20"/>
        <v>0</v>
      </c>
      <c r="AI16" s="386">
        <f t="shared" si="21"/>
        <v>0</v>
      </c>
      <c r="AJ16" s="386">
        <f t="shared" si="22"/>
        <v>14.813999745908353</v>
      </c>
      <c r="AK16" s="386">
        <f t="shared" si="23"/>
        <v>0.41696371809636823</v>
      </c>
      <c r="AL16" s="386">
        <f t="shared" si="24"/>
        <v>0.21744905803493828</v>
      </c>
      <c r="AM16">
        <f t="shared" si="25"/>
        <v>0</v>
      </c>
      <c r="AN16" s="386">
        <f t="shared" si="26"/>
        <v>0.69213152275961665</v>
      </c>
      <c r="AO16" s="386">
        <f t="shared" si="27"/>
        <v>17.208186711382773</v>
      </c>
      <c r="AP16" s="386">
        <f t="shared" si="28"/>
        <v>0.56263121079824019</v>
      </c>
      <c r="AQ16" s="386">
        <f t="shared" si="29"/>
        <v>0.4539007092198582</v>
      </c>
      <c r="AR16" s="386">
        <f t="shared" si="30"/>
        <v>1.145421947452065</v>
      </c>
      <c r="AS16" s="386">
        <f t="shared" si="31"/>
        <v>2.9387847866838253</v>
      </c>
      <c r="AT16" s="386">
        <f t="shared" si="32"/>
        <v>0</v>
      </c>
      <c r="AU16" s="386">
        <f t="shared" si="33"/>
        <v>9.8999999999999977E-2</v>
      </c>
      <c r="AV16" s="386">
        <f t="shared" si="34"/>
        <v>0.87781835388709106</v>
      </c>
      <c r="AW16" s="386">
        <f t="shared" si="35"/>
        <v>0.59328000000000003</v>
      </c>
      <c r="AX16" s="386">
        <f t="shared" si="36"/>
        <v>3.6000000000000004E-2</v>
      </c>
      <c r="AY16" s="386">
        <f t="shared" si="37"/>
        <v>0.13200000000000001</v>
      </c>
      <c r="AZ16" s="386">
        <f t="shared" si="38"/>
        <v>4.3499999999999997E-2</v>
      </c>
      <c r="BA16" s="386">
        <f t="shared" si="56"/>
        <v>0.16800000000000001</v>
      </c>
      <c r="BB16" s="386">
        <f t="shared" si="57"/>
        <v>13.037350794923215</v>
      </c>
      <c r="BC16">
        <f t="shared" si="39"/>
        <v>144</v>
      </c>
      <c r="BD16" s="604">
        <f t="shared" si="50"/>
        <v>0.91697929996317351</v>
      </c>
      <c r="BE16" s="614">
        <f t="shared" si="40"/>
        <v>39.556576137980834</v>
      </c>
      <c r="BF16" s="614">
        <f t="shared" si="41"/>
        <v>57.271097372603251</v>
      </c>
      <c r="BG16" s="9"/>
      <c r="BH16" s="4">
        <f t="shared" si="51"/>
        <v>91.697929996317356</v>
      </c>
      <c r="BI16" s="386">
        <f t="shared" si="52"/>
        <v>2.1177142356148293</v>
      </c>
      <c r="BJ16" s="386">
        <f t="shared" si="53"/>
        <v>9.0653209266573818</v>
      </c>
      <c r="BK16" s="386">
        <f t="shared" si="54"/>
        <v>3.2669999999999991E-2</v>
      </c>
      <c r="BL16" s="386">
        <f t="shared" si="55"/>
        <v>0.87781835388709106</v>
      </c>
      <c r="BP16" t="s">
        <v>141</v>
      </c>
      <c r="BQ16" s="18">
        <v>25</v>
      </c>
      <c r="BR16" s="18">
        <v>25</v>
      </c>
      <c r="BS16" s="18">
        <v>25</v>
      </c>
      <c r="BT16" s="19">
        <f>1000000*(12-Vdd)*BS16/1000000000+((1000000*BS9/1000000000*Vdd)*2.5/(2*4))</f>
        <v>0.27656249999999999</v>
      </c>
      <c r="BU16">
        <f t="shared" si="42"/>
        <v>22.125</v>
      </c>
      <c r="BV16">
        <f t="shared" si="42"/>
        <v>27.65625</v>
      </c>
      <c r="BW16">
        <f t="shared" si="42"/>
        <v>33.1875</v>
      </c>
      <c r="BX16">
        <f t="shared" si="42"/>
        <v>38.71875</v>
      </c>
      <c r="BY16">
        <f t="shared" si="42"/>
        <v>44.25</v>
      </c>
      <c r="BZ16">
        <f t="shared" si="42"/>
        <v>49.78125</v>
      </c>
      <c r="CA16">
        <f t="shared" si="42"/>
        <v>5.53125</v>
      </c>
      <c r="CB16">
        <f t="shared" si="42"/>
        <v>8.296875</v>
      </c>
      <c r="CC16">
        <f t="shared" si="42"/>
        <v>11.0625</v>
      </c>
      <c r="CD16">
        <f t="shared" si="42"/>
        <v>13.828125</v>
      </c>
    </row>
    <row r="17" spans="1:82" x14ac:dyDescent="0.2">
      <c r="A17" s="24" t="s">
        <v>62</v>
      </c>
      <c r="B17" s="16" t="s">
        <v>115</v>
      </c>
      <c r="C17" s="24" t="s">
        <v>80</v>
      </c>
      <c r="D17" s="17" t="s">
        <v>111</v>
      </c>
      <c r="G17">
        <v>8</v>
      </c>
      <c r="H17" s="610">
        <f t="shared" si="0"/>
        <v>7.2</v>
      </c>
      <c r="I17" s="4" t="str">
        <f t="shared" si="1"/>
        <v>BOOST</v>
      </c>
      <c r="J17">
        <f t="shared" si="43"/>
        <v>2</v>
      </c>
      <c r="K17">
        <f t="shared" si="2"/>
        <v>12</v>
      </c>
      <c r="L17" s="4">
        <f t="shared" si="3"/>
        <v>22.222222222222221</v>
      </c>
      <c r="M17" s="4">
        <f t="shared" si="4"/>
        <v>20.435266084193806</v>
      </c>
      <c r="N17" s="386">
        <f t="shared" si="5"/>
        <v>1</v>
      </c>
      <c r="O17" s="386">
        <f t="shared" si="44"/>
        <v>0.41277985074626866</v>
      </c>
      <c r="P17" s="4">
        <f t="shared" si="6"/>
        <v>2.4571623266645495</v>
      </c>
      <c r="Q17" s="386">
        <f t="shared" si="7"/>
        <v>22.23353992774862</v>
      </c>
      <c r="R17" s="386">
        <f t="shared" si="8"/>
        <v>1.9088983419190562</v>
      </c>
      <c r="S17" s="386">
        <f t="shared" si="45"/>
        <v>0.11144556270817095</v>
      </c>
      <c r="T17" s="386">
        <f t="shared" si="46"/>
        <v>2.0203439046272269</v>
      </c>
      <c r="U17" s="4">
        <f t="shared" si="9"/>
        <v>10.078534998092689</v>
      </c>
      <c r="V17" s="386">
        <f t="shared" si="10"/>
        <v>0.2031537354155584</v>
      </c>
      <c r="W17" s="386">
        <f t="shared" si="47"/>
        <v>0.2031537354155584</v>
      </c>
      <c r="X17" s="386">
        <f t="shared" si="11"/>
        <v>0.70932166537119246</v>
      </c>
      <c r="Y17" s="386">
        <f t="shared" si="12"/>
        <v>1.006274449929924E-3</v>
      </c>
      <c r="Z17" s="603">
        <f t="shared" si="48"/>
        <v>1.006274449929924E-3</v>
      </c>
      <c r="AA17" s="386">
        <f t="shared" si="13"/>
        <v>22.23353992774862</v>
      </c>
      <c r="AB17" s="386">
        <f t="shared" si="14"/>
        <v>2.8176826969971152</v>
      </c>
      <c r="AC17" s="386">
        <f t="shared" si="15"/>
        <v>0</v>
      </c>
      <c r="AD17">
        <f t="shared" si="16"/>
        <v>0</v>
      </c>
      <c r="AE17" s="386">
        <f t="shared" si="17"/>
        <v>6.4557126800946012</v>
      </c>
      <c r="AF17" s="386">
        <f t="shared" si="18"/>
        <v>0</v>
      </c>
      <c r="AG17" s="386">
        <f t="shared" si="19"/>
        <v>0</v>
      </c>
      <c r="AH17" s="386">
        <f t="shared" si="20"/>
        <v>0</v>
      </c>
      <c r="AI17" s="386">
        <f t="shared" si="21"/>
        <v>0</v>
      </c>
      <c r="AJ17" s="386">
        <f t="shared" si="22"/>
        <v>14.284592626733238</v>
      </c>
      <c r="AK17" s="386">
        <f t="shared" si="23"/>
        <v>0.38769421437227097</v>
      </c>
      <c r="AL17" s="386">
        <f t="shared" si="24"/>
        <v>0.21291886932587703</v>
      </c>
      <c r="AM17">
        <f t="shared" si="25"/>
        <v>0</v>
      </c>
      <c r="AN17" s="386">
        <f t="shared" si="26"/>
        <v>0.65109850865666896</v>
      </c>
      <c r="AO17" s="386">
        <f t="shared" si="27"/>
        <v>17.037626337229916</v>
      </c>
      <c r="AP17" s="386">
        <f t="shared" si="28"/>
        <v>0.55153335129343395</v>
      </c>
      <c r="AQ17" s="386">
        <f t="shared" si="29"/>
        <v>0.44444444444444442</v>
      </c>
      <c r="AR17" s="386">
        <f t="shared" si="30"/>
        <v>1.1194619116987967</v>
      </c>
      <c r="AS17" s="386">
        <f t="shared" si="31"/>
        <v>2.8176826969971152</v>
      </c>
      <c r="AT17" s="386">
        <f t="shared" si="32"/>
        <v>0</v>
      </c>
      <c r="AU17" s="386">
        <f t="shared" si="33"/>
        <v>9.8999999999999977E-2</v>
      </c>
      <c r="AV17" s="386">
        <f t="shared" si="34"/>
        <v>0.81619834604688635</v>
      </c>
      <c r="AW17" s="386">
        <f t="shared" si="35"/>
        <v>0.59328000000000003</v>
      </c>
      <c r="AX17" s="386">
        <f t="shared" si="36"/>
        <v>3.6000000000000004E-2</v>
      </c>
      <c r="AY17" s="386">
        <f t="shared" si="37"/>
        <v>0.13200000000000001</v>
      </c>
      <c r="AZ17" s="386">
        <f t="shared" si="38"/>
        <v>4.3499999999999997E-2</v>
      </c>
      <c r="BA17" s="386">
        <f t="shared" si="56"/>
        <v>0.16800000000000001</v>
      </c>
      <c r="BB17" s="386">
        <f t="shared" si="57"/>
        <v>12.127255360989666</v>
      </c>
      <c r="BC17">
        <f t="shared" si="39"/>
        <v>144</v>
      </c>
      <c r="BD17" s="604">
        <f t="shared" si="50"/>
        <v>0.92232454651848184</v>
      </c>
      <c r="BE17" s="614">
        <f t="shared" si="40"/>
        <v>37.504925432833446</v>
      </c>
      <c r="BF17" s="614">
        <f t="shared" si="41"/>
        <v>55.973095584939834</v>
      </c>
      <c r="BG17" s="9"/>
      <c r="BH17" s="4">
        <f t="shared" si="51"/>
        <v>92.232454651848187</v>
      </c>
      <c r="BI17" s="386">
        <f t="shared" si="52"/>
        <v>2.0203439046272269</v>
      </c>
      <c r="BJ17" s="386">
        <f t="shared" si="53"/>
        <v>8.3252731004500671</v>
      </c>
      <c r="BK17" s="386">
        <f t="shared" si="54"/>
        <v>3.2669999999999991E-2</v>
      </c>
      <c r="BL17" s="386">
        <f t="shared" si="55"/>
        <v>0.81619834604688635</v>
      </c>
      <c r="BP17" t="s">
        <v>144</v>
      </c>
      <c r="BQ17" s="18">
        <v>50</v>
      </c>
      <c r="BR17" s="18">
        <v>50</v>
      </c>
      <c r="BS17" s="18">
        <v>50</v>
      </c>
      <c r="BT17" s="19">
        <f>500000*(18-Vdd)*BS17/1000000000+((500000*BS15/1000000000*Vdd)*2.5/(2*4))</f>
        <v>0.28593750000000001</v>
      </c>
      <c r="BU17">
        <f t="shared" si="42"/>
        <v>22.875</v>
      </c>
      <c r="BV17">
        <f t="shared" si="42"/>
        <v>28.59375</v>
      </c>
      <c r="BW17">
        <f t="shared" si="42"/>
        <v>34.3125</v>
      </c>
      <c r="BX17">
        <f t="shared" si="42"/>
        <v>40.03125</v>
      </c>
      <c r="BY17">
        <f t="shared" si="42"/>
        <v>45.75</v>
      </c>
      <c r="BZ17">
        <f t="shared" si="42"/>
        <v>51.46875</v>
      </c>
      <c r="CA17">
        <f t="shared" si="42"/>
        <v>5.71875</v>
      </c>
      <c r="CB17">
        <f t="shared" si="42"/>
        <v>8.578125</v>
      </c>
      <c r="CC17">
        <f t="shared" si="42"/>
        <v>11.4375</v>
      </c>
      <c r="CD17">
        <f t="shared" si="42"/>
        <v>14.296875</v>
      </c>
    </row>
    <row r="18" spans="1:82" x14ac:dyDescent="0.2">
      <c r="A18" s="35" t="s">
        <v>60</v>
      </c>
      <c r="B18" s="38">
        <f>Lf*1000000</f>
        <v>4.7</v>
      </c>
      <c r="C18" s="483" t="s">
        <v>11</v>
      </c>
      <c r="D18" s="482" t="s">
        <v>676</v>
      </c>
      <c r="G18">
        <v>9</v>
      </c>
      <c r="H18" s="610">
        <f t="shared" si="0"/>
        <v>7.35</v>
      </c>
      <c r="I18" s="4" t="str">
        <f t="shared" si="1"/>
        <v>BOOST</v>
      </c>
      <c r="J18">
        <f t="shared" si="43"/>
        <v>2</v>
      </c>
      <c r="K18">
        <f t="shared" si="2"/>
        <v>12</v>
      </c>
      <c r="L18" s="4">
        <f t="shared" si="3"/>
        <v>21.768707482993197</v>
      </c>
      <c r="M18" s="4">
        <f t="shared" si="4"/>
        <v>19.997525812437548</v>
      </c>
      <c r="N18" s="386">
        <f t="shared" si="5"/>
        <v>1</v>
      </c>
      <c r="O18" s="386">
        <f t="shared" si="44"/>
        <v>0.39992576518958428</v>
      </c>
      <c r="P18" s="4">
        <f t="shared" si="6"/>
        <v>2.4331277484410165</v>
      </c>
      <c r="Q18" s="386">
        <f t="shared" si="7"/>
        <v>21.780035997065681</v>
      </c>
      <c r="R18" s="386">
        <f t="shared" si="8"/>
        <v>1.8205935468094741</v>
      </c>
      <c r="S18" s="386">
        <f t="shared" si="45"/>
        <v>0.10894997924254397</v>
      </c>
      <c r="T18" s="386">
        <f t="shared" si="46"/>
        <v>1.929543526052018</v>
      </c>
      <c r="U18" s="4">
        <f t="shared" si="9"/>
        <v>9.8132106400667016</v>
      </c>
      <c r="V18" s="386">
        <f t="shared" si="10"/>
        <v>0.19259820613263665</v>
      </c>
      <c r="W18" s="386">
        <f t="shared" si="47"/>
        <v>0.19259820613263665</v>
      </c>
      <c r="X18" s="386">
        <f t="shared" si="11"/>
        <v>0.70238348026758446</v>
      </c>
      <c r="Y18" s="386">
        <f t="shared" si="12"/>
        <v>9.8668510670560849E-4</v>
      </c>
      <c r="Z18" s="603">
        <f t="shared" si="48"/>
        <v>9.8668510670560849E-4</v>
      </c>
      <c r="AA18" s="386">
        <f t="shared" si="13"/>
        <v>21.780035997065681</v>
      </c>
      <c r="AB18" s="386">
        <f t="shared" si="14"/>
        <v>2.7039088177908184</v>
      </c>
      <c r="AC18" s="386">
        <f t="shared" si="15"/>
        <v>0</v>
      </c>
      <c r="AD18">
        <f t="shared" si="16"/>
        <v>0</v>
      </c>
      <c r="AE18" s="386">
        <f t="shared" si="17"/>
        <v>5.8880693387560843</v>
      </c>
      <c r="AF18" s="386">
        <f t="shared" si="18"/>
        <v>0</v>
      </c>
      <c r="AG18" s="386">
        <f t="shared" si="19"/>
        <v>0</v>
      </c>
      <c r="AH18" s="386">
        <f t="shared" si="20"/>
        <v>0</v>
      </c>
      <c r="AI18" s="386">
        <f t="shared" si="21"/>
        <v>0</v>
      </c>
      <c r="AJ18" s="386">
        <f t="shared" si="22"/>
        <v>13.773625973168681</v>
      </c>
      <c r="AK18" s="386">
        <f t="shared" si="23"/>
        <v>0.36045426765261906</v>
      </c>
      <c r="AL18" s="386">
        <f t="shared" si="24"/>
        <v>0.20857358627841019</v>
      </c>
      <c r="AM18">
        <f t="shared" si="25"/>
        <v>0</v>
      </c>
      <c r="AN18" s="386">
        <f t="shared" si="26"/>
        <v>0.61323660413961401</v>
      </c>
      <c r="AO18" s="386">
        <f t="shared" si="27"/>
        <v>16.871786970701415</v>
      </c>
      <c r="AP18" s="386">
        <f t="shared" si="28"/>
        <v>0.54084867161098704</v>
      </c>
      <c r="AQ18" s="386">
        <f t="shared" si="29"/>
        <v>0.43537414965986393</v>
      </c>
      <c r="AR18" s="386">
        <f t="shared" si="30"/>
        <v>1.0946284947269749</v>
      </c>
      <c r="AS18" s="386">
        <f t="shared" si="31"/>
        <v>2.7039088177908184</v>
      </c>
      <c r="AT18" s="386">
        <f t="shared" si="32"/>
        <v>0</v>
      </c>
      <c r="AU18" s="386">
        <f t="shared" si="33"/>
        <v>9.8999999999999977E-2</v>
      </c>
      <c r="AV18" s="386">
        <f t="shared" si="34"/>
        <v>0.7588510897949875</v>
      </c>
      <c r="AW18" s="386">
        <f t="shared" si="35"/>
        <v>0.59328000000000003</v>
      </c>
      <c r="AX18" s="386">
        <f t="shared" si="36"/>
        <v>3.6000000000000004E-2</v>
      </c>
      <c r="AY18" s="386">
        <f t="shared" si="37"/>
        <v>0.13200000000000001</v>
      </c>
      <c r="AZ18" s="386">
        <f t="shared" si="38"/>
        <v>4.3499999999999997E-2</v>
      </c>
      <c r="BA18" s="386">
        <f t="shared" si="56"/>
        <v>0.16800000000000001</v>
      </c>
      <c r="BB18" s="386">
        <f t="shared" si="57"/>
        <v>11.338193944709019</v>
      </c>
      <c r="BC18">
        <f t="shared" si="39"/>
        <v>144</v>
      </c>
      <c r="BD18" s="604">
        <f t="shared" si="50"/>
        <v>0.92700961909763979</v>
      </c>
      <c r="BE18" s="614">
        <f t="shared" si="40"/>
        <v>35.611830206980699</v>
      </c>
      <c r="BF18" s="614">
        <f t="shared" si="41"/>
        <v>54.731424736348742</v>
      </c>
      <c r="BG18" s="9"/>
      <c r="BH18" s="4">
        <f t="shared" si="51"/>
        <v>92.700961909763976</v>
      </c>
      <c r="BI18" s="386">
        <f t="shared" si="52"/>
        <v>1.929543526052018</v>
      </c>
      <c r="BJ18" s="386">
        <f t="shared" si="53"/>
        <v>7.6949344376226732</v>
      </c>
      <c r="BK18" s="386">
        <f t="shared" si="54"/>
        <v>3.2669999999999991E-2</v>
      </c>
      <c r="BL18" s="386">
        <f t="shared" si="55"/>
        <v>0.7588510897949875</v>
      </c>
      <c r="BP18" t="s">
        <v>145</v>
      </c>
      <c r="BR18" s="18"/>
      <c r="BS18" s="19"/>
    </row>
    <row r="19" spans="1:82" x14ac:dyDescent="0.2">
      <c r="A19" s="35" t="s">
        <v>12</v>
      </c>
      <c r="B19" s="39">
        <f>Rdcr*1000</f>
        <v>3.35</v>
      </c>
      <c r="C19" s="484" t="s">
        <v>674</v>
      </c>
      <c r="D19" s="482" t="s">
        <v>677</v>
      </c>
      <c r="G19">
        <v>10</v>
      </c>
      <c r="H19" s="610">
        <f t="shared" si="0"/>
        <v>7.5</v>
      </c>
      <c r="I19" s="4" t="str">
        <f t="shared" si="1"/>
        <v>BOOST</v>
      </c>
      <c r="J19">
        <f t="shared" si="43"/>
        <v>2</v>
      </c>
      <c r="K19">
        <f t="shared" si="2"/>
        <v>12</v>
      </c>
      <c r="L19" s="4">
        <f t="shared" si="3"/>
        <v>21.333333333333332</v>
      </c>
      <c r="M19" s="4">
        <f t="shared" si="4"/>
        <v>19.5786014241373</v>
      </c>
      <c r="N19" s="386">
        <f t="shared" si="5"/>
        <v>1</v>
      </c>
      <c r="O19" s="386">
        <f t="shared" si="44"/>
        <v>0.38708594449418082</v>
      </c>
      <c r="P19" s="4">
        <f t="shared" si="6"/>
        <v>2.4057528714832661</v>
      </c>
      <c r="Q19" s="386">
        <f t="shared" si="7"/>
        <v>21.344634337876705</v>
      </c>
      <c r="R19" s="386">
        <f t="shared" si="8"/>
        <v>1.7385081023346198</v>
      </c>
      <c r="S19" s="386">
        <f t="shared" si="45"/>
        <v>0.10614646343176555</v>
      </c>
      <c r="T19" s="386">
        <f t="shared" si="46"/>
        <v>1.8446545657663853</v>
      </c>
      <c r="U19" s="4">
        <f t="shared" si="9"/>
        <v>9.5523722801757884</v>
      </c>
      <c r="V19" s="386">
        <f t="shared" si="10"/>
        <v>0.18249563235814159</v>
      </c>
      <c r="W19" s="386">
        <f t="shared" si="47"/>
        <v>0.18249563235814159</v>
      </c>
      <c r="X19" s="386">
        <f t="shared" si="11"/>
        <v>0.69448103397728944</v>
      </c>
      <c r="Y19" s="386">
        <f t="shared" si="12"/>
        <v>9.6460781310833015E-4</v>
      </c>
      <c r="Z19" s="603">
        <f t="shared" si="48"/>
        <v>9.6460781310833015E-4</v>
      </c>
      <c r="AA19" s="386">
        <f t="shared" si="13"/>
        <v>21.344634337876705</v>
      </c>
      <c r="AB19" s="386">
        <f t="shared" si="14"/>
        <v>2.5968824656006926</v>
      </c>
      <c r="AC19" s="386">
        <f t="shared" si="15"/>
        <v>0</v>
      </c>
      <c r="AD19">
        <f t="shared" si="16"/>
        <v>0</v>
      </c>
      <c r="AE19" s="386">
        <f t="shared" si="17"/>
        <v>5.4031532549443524</v>
      </c>
      <c r="AF19" s="386">
        <f t="shared" si="18"/>
        <v>0</v>
      </c>
      <c r="AG19" s="386">
        <f t="shared" si="19"/>
        <v>0</v>
      </c>
      <c r="AH19" s="386">
        <f t="shared" si="20"/>
        <v>0</v>
      </c>
      <c r="AI19" s="386">
        <f t="shared" si="21"/>
        <v>0</v>
      </c>
      <c r="AJ19" s="386">
        <f t="shared" si="22"/>
        <v>13.279827083115288</v>
      </c>
      <c r="AK19" s="386">
        <f t="shared" si="23"/>
        <v>0.33507223397914038</v>
      </c>
      <c r="AL19" s="386">
        <f t="shared" si="24"/>
        <v>0.20440211455284199</v>
      </c>
      <c r="AM19">
        <f t="shared" si="25"/>
        <v>0</v>
      </c>
      <c r="AN19" s="386">
        <f t="shared" si="26"/>
        <v>0.57822368918709866</v>
      </c>
      <c r="AO19" s="386">
        <f t="shared" si="27"/>
        <v>16.710464016903391</v>
      </c>
      <c r="AP19" s="386">
        <f t="shared" si="28"/>
        <v>0.53055525455442365</v>
      </c>
      <c r="AQ19" s="386">
        <f t="shared" si="29"/>
        <v>0.42666666666666664</v>
      </c>
      <c r="AR19" s="386">
        <f t="shared" si="30"/>
        <v>1.0708510516843419</v>
      </c>
      <c r="AS19" s="386">
        <f t="shared" si="31"/>
        <v>2.5968824656006926</v>
      </c>
      <c r="AT19" s="386">
        <f t="shared" si="32"/>
        <v>0</v>
      </c>
      <c r="AU19" s="386">
        <f t="shared" si="33"/>
        <v>9.8999999999999977E-2</v>
      </c>
      <c r="AV19" s="386">
        <f t="shared" si="34"/>
        <v>0.7054152294297692</v>
      </c>
      <c r="AW19" s="386">
        <f t="shared" si="35"/>
        <v>0.59328000000000003</v>
      </c>
      <c r="AX19" s="386">
        <f t="shared" si="36"/>
        <v>3.6000000000000004E-2</v>
      </c>
      <c r="AY19" s="386">
        <f t="shared" si="37"/>
        <v>0.13200000000000001</v>
      </c>
      <c r="AZ19" s="386">
        <f t="shared" si="38"/>
        <v>4.3499999999999997E-2</v>
      </c>
      <c r="BA19" s="386">
        <f t="shared" si="56"/>
        <v>0.16800000000000001</v>
      </c>
      <c r="BB19" s="386">
        <f t="shared" si="57"/>
        <v>10.646038031183197</v>
      </c>
      <c r="BC19">
        <f t="shared" si="39"/>
        <v>144</v>
      </c>
      <c r="BD19" s="604">
        <f t="shared" si="50"/>
        <v>0.93115867585927736</v>
      </c>
      <c r="BE19" s="614">
        <f t="shared" si="40"/>
        <v>33.861184459354931</v>
      </c>
      <c r="BF19" s="614">
        <f t="shared" si="41"/>
        <v>53.542552584217098</v>
      </c>
      <c r="BG19" s="9"/>
      <c r="BH19" s="4">
        <f t="shared" si="51"/>
        <v>93.115867585927731</v>
      </c>
      <c r="BI19" s="386">
        <f t="shared" si="52"/>
        <v>1.8446545657663853</v>
      </c>
      <c r="BJ19" s="386">
        <f t="shared" si="53"/>
        <v>7.1512279958157929</v>
      </c>
      <c r="BK19" s="386">
        <f t="shared" si="54"/>
        <v>3.2669999999999991E-2</v>
      </c>
      <c r="BL19" s="386">
        <f t="shared" si="55"/>
        <v>0.7054152294297692</v>
      </c>
      <c r="BP19" t="s">
        <v>146</v>
      </c>
      <c r="BR19" s="18"/>
      <c r="BS19" s="19"/>
    </row>
    <row r="20" spans="1:82" x14ac:dyDescent="0.2">
      <c r="A20" s="35" t="s">
        <v>86</v>
      </c>
      <c r="B20" s="39">
        <f>Ltc*1000000</f>
        <v>4000</v>
      </c>
      <c r="C20" s="483" t="s">
        <v>85</v>
      </c>
      <c r="D20" s="21" t="s">
        <v>101</v>
      </c>
      <c r="G20">
        <v>11</v>
      </c>
      <c r="H20" s="610">
        <f t="shared" si="0"/>
        <v>7.65</v>
      </c>
      <c r="I20" s="4" t="str">
        <f t="shared" si="1"/>
        <v>BOOST</v>
      </c>
      <c r="J20">
        <f t="shared" si="43"/>
        <v>2</v>
      </c>
      <c r="K20">
        <f t="shared" si="2"/>
        <v>12</v>
      </c>
      <c r="L20" s="4">
        <f t="shared" si="3"/>
        <v>20.915032679738559</v>
      </c>
      <c r="M20" s="4">
        <f t="shared" si="4"/>
        <v>19.177280098172414</v>
      </c>
      <c r="N20" s="386">
        <f t="shared" si="5"/>
        <v>1</v>
      </c>
      <c r="O20" s="386">
        <f t="shared" si="44"/>
        <v>0.3742595436594997</v>
      </c>
      <c r="P20" s="4">
        <f t="shared" si="6"/>
        <v>2.3750465881459615</v>
      </c>
      <c r="Q20" s="386">
        <f t="shared" si="7"/>
        <v>20.926267285858394</v>
      </c>
      <c r="R20" s="386">
        <f t="shared" si="8"/>
        <v>1.6620516000172618</v>
      </c>
      <c r="S20" s="386">
        <f t="shared" si="45"/>
        <v>0.10305090020179417</v>
      </c>
      <c r="T20" s="386">
        <f t="shared" si="46"/>
        <v>1.7651025002190559</v>
      </c>
      <c r="U20" s="4">
        <f t="shared" si="9"/>
        <v>9.2956179728146342</v>
      </c>
      <c r="V20" s="386">
        <f t="shared" si="10"/>
        <v>0.17281702699302889</v>
      </c>
      <c r="W20" s="386">
        <f t="shared" si="47"/>
        <v>0.17281702699302889</v>
      </c>
      <c r="X20" s="386">
        <f t="shared" si="11"/>
        <v>0.68561689350198662</v>
      </c>
      <c r="Y20" s="386">
        <f t="shared" si="12"/>
        <v>9.4014104931062895E-4</v>
      </c>
      <c r="Z20" s="603">
        <f t="shared" si="48"/>
        <v>9.4014104931062895E-4</v>
      </c>
      <c r="AA20" s="386">
        <f t="shared" si="13"/>
        <v>20.926267285858394</v>
      </c>
      <c r="AB20" s="386">
        <f t="shared" si="14"/>
        <v>2.4960793763593676</v>
      </c>
      <c r="AC20" s="386">
        <f t="shared" si="15"/>
        <v>0</v>
      </c>
      <c r="AD20">
        <f t="shared" si="16"/>
        <v>0</v>
      </c>
      <c r="AE20" s="386">
        <f t="shared" si="17"/>
        <v>4.984342060991807</v>
      </c>
      <c r="AF20" s="386">
        <f t="shared" si="18"/>
        <v>0</v>
      </c>
      <c r="AG20" s="386">
        <f t="shared" si="19"/>
        <v>0</v>
      </c>
      <c r="AH20" s="386">
        <f t="shared" si="20"/>
        <v>0</v>
      </c>
      <c r="AI20" s="386">
        <f t="shared" si="21"/>
        <v>0</v>
      </c>
      <c r="AJ20" s="386">
        <f t="shared" si="22"/>
        <v>12.802011412234128</v>
      </c>
      <c r="AK20" s="386">
        <f t="shared" si="23"/>
        <v>0.31139384277804838</v>
      </c>
      <c r="AL20" s="386">
        <f t="shared" si="24"/>
        <v>0.20039422995376663</v>
      </c>
      <c r="AM20">
        <f t="shared" si="25"/>
        <v>0</v>
      </c>
      <c r="AN20" s="386">
        <f t="shared" si="26"/>
        <v>0.54577848466062551</v>
      </c>
      <c r="AO20" s="386">
        <f t="shared" si="27"/>
        <v>16.553463876790691</v>
      </c>
      <c r="AP20" s="386">
        <f t="shared" si="28"/>
        <v>0.52063261600840716</v>
      </c>
      <c r="AQ20" s="386">
        <f t="shared" si="29"/>
        <v>0.4183006535947712</v>
      </c>
      <c r="AR20" s="386">
        <f t="shared" si="30"/>
        <v>1.0480645916192846</v>
      </c>
      <c r="AS20" s="386">
        <f t="shared" si="31"/>
        <v>2.4960793763593676</v>
      </c>
      <c r="AT20" s="386">
        <f t="shared" si="32"/>
        <v>0</v>
      </c>
      <c r="AU20" s="386">
        <f t="shared" si="33"/>
        <v>9.8999999999999977E-2</v>
      </c>
      <c r="AV20" s="386">
        <f t="shared" si="34"/>
        <v>0.65556598479589134</v>
      </c>
      <c r="AW20" s="386">
        <f t="shared" si="35"/>
        <v>0.59328000000000003</v>
      </c>
      <c r="AX20" s="386">
        <f t="shared" si="36"/>
        <v>3.6000000000000004E-2</v>
      </c>
      <c r="AY20" s="386">
        <f t="shared" si="37"/>
        <v>0.13200000000000001</v>
      </c>
      <c r="AZ20" s="386">
        <f t="shared" si="38"/>
        <v>4.3499999999999997E-2</v>
      </c>
      <c r="BA20" s="386">
        <f t="shared" si="56"/>
        <v>0.16800000000000001</v>
      </c>
      <c r="BB20" s="386">
        <f t="shared" si="57"/>
        <v>10.032890790329004</v>
      </c>
      <c r="BC20">
        <f t="shared" si="39"/>
        <v>144</v>
      </c>
      <c r="BD20" s="604">
        <f t="shared" si="50"/>
        <v>0.93486526975601691</v>
      </c>
      <c r="BE20" s="614">
        <f t="shared" si="40"/>
        <v>32.238924233031277</v>
      </c>
      <c r="BF20" s="614">
        <f t="shared" si="41"/>
        <v>52.403229580964229</v>
      </c>
      <c r="BG20" s="9"/>
      <c r="BH20" s="4">
        <f t="shared" si="51"/>
        <v>93.486526975601691</v>
      </c>
      <c r="BI20" s="386">
        <f t="shared" si="52"/>
        <v>1.7651025002190559</v>
      </c>
      <c r="BJ20" s="386">
        <f t="shared" si="53"/>
        <v>6.6771851372717173</v>
      </c>
      <c r="BK20" s="386">
        <f t="shared" si="54"/>
        <v>3.2669999999999991E-2</v>
      </c>
      <c r="BL20" s="386">
        <f t="shared" si="55"/>
        <v>0.65556598479589134</v>
      </c>
      <c r="BR20" s="18"/>
      <c r="BS20" s="19"/>
    </row>
    <row r="21" spans="1:82" x14ac:dyDescent="0.2">
      <c r="A21" s="25" t="s">
        <v>159</v>
      </c>
      <c r="B21" s="39">
        <f>ThetaCa</f>
        <v>20</v>
      </c>
      <c r="C21" s="483" t="s">
        <v>241</v>
      </c>
      <c r="D21" s="26" t="s">
        <v>160</v>
      </c>
      <c r="G21">
        <v>12</v>
      </c>
      <c r="H21" s="610">
        <f t="shared" si="0"/>
        <v>7.8</v>
      </c>
      <c r="I21" s="4" t="str">
        <f t="shared" si="1"/>
        <v>BOOST</v>
      </c>
      <c r="J21">
        <f t="shared" si="43"/>
        <v>2</v>
      </c>
      <c r="K21">
        <f t="shared" si="2"/>
        <v>12</v>
      </c>
      <c r="L21" s="4">
        <f t="shared" si="3"/>
        <v>20.512820512820515</v>
      </c>
      <c r="M21" s="4">
        <f t="shared" si="4"/>
        <v>18.79245283018868</v>
      </c>
      <c r="N21" s="386">
        <f t="shared" si="5"/>
        <v>1</v>
      </c>
      <c r="O21" s="386">
        <f t="shared" si="44"/>
        <v>0.36144578313253012</v>
      </c>
      <c r="P21" s="4">
        <f t="shared" si="6"/>
        <v>2.3410170962080725</v>
      </c>
      <c r="Q21" s="386">
        <f t="shared" si="7"/>
        <v>20.523949477255062</v>
      </c>
      <c r="R21" s="386">
        <f t="shared" si="8"/>
        <v>1.5907039445143178</v>
      </c>
      <c r="S21" s="386">
        <f t="shared" si="45"/>
        <v>9.9680764466000507E-2</v>
      </c>
      <c r="T21" s="386">
        <f t="shared" si="46"/>
        <v>1.6903847089803183</v>
      </c>
      <c r="U21" s="4">
        <f t="shared" si="9"/>
        <v>9.0425627760449689</v>
      </c>
      <c r="V21" s="386">
        <f t="shared" si="10"/>
        <v>0.1635358831174282</v>
      </c>
      <c r="W21" s="386">
        <f t="shared" si="47"/>
        <v>0.1635358831174282</v>
      </c>
      <c r="X21" s="386">
        <f t="shared" si="11"/>
        <v>0.67579342533662334</v>
      </c>
      <c r="Y21" s="386">
        <f t="shared" si="12"/>
        <v>9.1339350745641259E-4</v>
      </c>
      <c r="Z21" s="603">
        <f t="shared" si="48"/>
        <v>9.1339350745641259E-4</v>
      </c>
      <c r="AA21" s="386">
        <f t="shared" si="13"/>
        <v>20.523949477255062</v>
      </c>
      <c r="AB21" s="386">
        <f t="shared" si="14"/>
        <v>2.4010252622260344</v>
      </c>
      <c r="AC21" s="386">
        <f t="shared" si="15"/>
        <v>0</v>
      </c>
      <c r="AD21">
        <f t="shared" si="16"/>
        <v>0</v>
      </c>
      <c r="AE21" s="386">
        <f t="shared" si="17"/>
        <v>4.6191777613862532</v>
      </c>
      <c r="AF21" s="386">
        <f t="shared" si="18"/>
        <v>0</v>
      </c>
      <c r="AG21" s="386">
        <f t="shared" si="19"/>
        <v>0</v>
      </c>
      <c r="AH21" s="386">
        <f t="shared" si="20"/>
        <v>0</v>
      </c>
      <c r="AI21" s="386">
        <f t="shared" si="21"/>
        <v>0</v>
      </c>
      <c r="AJ21" s="386">
        <f t="shared" si="22"/>
        <v>12.339072559096376</v>
      </c>
      <c r="AK21" s="386">
        <f t="shared" si="23"/>
        <v>0.28928015207542584</v>
      </c>
      <c r="AL21" s="386">
        <f t="shared" si="24"/>
        <v>0.19654049476234808</v>
      </c>
      <c r="AM21">
        <f t="shared" si="25"/>
        <v>0</v>
      </c>
      <c r="AN21" s="386">
        <f t="shared" si="26"/>
        <v>0.51565436124567499</v>
      </c>
      <c r="AO21" s="386">
        <f t="shared" si="27"/>
        <v>16.40060335860462</v>
      </c>
      <c r="AP21" s="386">
        <f t="shared" si="28"/>
        <v>0.5110616019999189</v>
      </c>
      <c r="AQ21" s="386">
        <f t="shared" si="29"/>
        <v>0.4102564102564103</v>
      </c>
      <c r="AR21" s="386">
        <f t="shared" si="30"/>
        <v>1.0262092398804095</v>
      </c>
      <c r="AS21" s="386">
        <f t="shared" si="31"/>
        <v>2.4010252622260344</v>
      </c>
      <c r="AT21" s="386">
        <f t="shared" si="32"/>
        <v>0</v>
      </c>
      <c r="AU21" s="386">
        <f t="shared" si="33"/>
        <v>9.8999999999999977E-2</v>
      </c>
      <c r="AV21" s="386">
        <f t="shared" si="34"/>
        <v>0.6090108464745807</v>
      </c>
      <c r="AW21" s="386">
        <f t="shared" si="35"/>
        <v>0.59328000000000003</v>
      </c>
      <c r="AX21" s="386">
        <f t="shared" si="36"/>
        <v>3.6000000000000004E-2</v>
      </c>
      <c r="AY21" s="386">
        <f t="shared" si="37"/>
        <v>0.13200000000000001</v>
      </c>
      <c r="AZ21" s="386">
        <f t="shared" si="38"/>
        <v>4.3499999999999997E-2</v>
      </c>
      <c r="BA21" s="386">
        <f t="shared" si="56"/>
        <v>0.16800000000000001</v>
      </c>
      <c r="BB21" s="386">
        <f t="shared" si="57"/>
        <v>9.4851661945921197</v>
      </c>
      <c r="BC21">
        <f t="shared" si="39"/>
        <v>144</v>
      </c>
      <c r="BD21" s="604">
        <f t="shared" si="50"/>
        <v>0.93820141431409332</v>
      </c>
      <c r="BE21" s="614">
        <f t="shared" si="40"/>
        <v>30.732718062283748</v>
      </c>
      <c r="BF21" s="614">
        <f t="shared" si="41"/>
        <v>51.310461994020471</v>
      </c>
      <c r="BG21" s="9"/>
      <c r="BH21" s="4">
        <f t="shared" si="51"/>
        <v>93.820141431409326</v>
      </c>
      <c r="BI21" s="386">
        <f t="shared" si="52"/>
        <v>1.6903847089803183</v>
      </c>
      <c r="BJ21" s="386">
        <f t="shared" si="53"/>
        <v>6.2600413625123377</v>
      </c>
      <c r="BK21" s="386">
        <f t="shared" si="54"/>
        <v>3.2669999999999991E-2</v>
      </c>
      <c r="BL21" s="386">
        <f t="shared" si="55"/>
        <v>0.6090108464745807</v>
      </c>
      <c r="BR21" s="18"/>
      <c r="BS21" s="19"/>
    </row>
    <row r="22" spans="1:82" x14ac:dyDescent="0.2">
      <c r="A22" s="36" t="s">
        <v>61</v>
      </c>
      <c r="B22" s="39">
        <f>Cin*1000000</f>
        <v>100</v>
      </c>
      <c r="C22" s="485" t="s">
        <v>675</v>
      </c>
      <c r="D22" s="482" t="s">
        <v>693</v>
      </c>
      <c r="G22">
        <v>13</v>
      </c>
      <c r="H22" s="610">
        <f t="shared" si="0"/>
        <v>7.95</v>
      </c>
      <c r="I22" s="445" t="str">
        <f t="shared" si="1"/>
        <v>BOOST</v>
      </c>
      <c r="J22">
        <f t="shared" si="43"/>
        <v>2</v>
      </c>
      <c r="K22">
        <f t="shared" si="2"/>
        <v>12</v>
      </c>
      <c r="L22" s="4">
        <f t="shared" si="3"/>
        <v>20.125786163522012</v>
      </c>
      <c r="M22" s="4">
        <f t="shared" si="4"/>
        <v>18.423103406375311</v>
      </c>
      <c r="N22" s="386">
        <f t="shared" si="5"/>
        <v>1</v>
      </c>
      <c r="O22" s="386">
        <f t="shared" si="44"/>
        <v>0.34864394259181097</v>
      </c>
      <c r="P22" s="4">
        <f t="shared" si="6"/>
        <v>2.3036719653818336</v>
      </c>
      <c r="Q22" s="386">
        <f t="shared" si="7"/>
        <v>20.136770116964833</v>
      </c>
      <c r="R22" s="386">
        <f t="shared" si="8"/>
        <v>1.5240053323112743</v>
      </c>
      <c r="S22" s="386">
        <f t="shared" si="45"/>
        <v>9.6055081203519008E-2</v>
      </c>
      <c r="T22" s="386">
        <f t="shared" si="46"/>
        <v>1.6200604135147934</v>
      </c>
      <c r="U22" s="4">
        <f t="shared" si="9"/>
        <v>8.7928354210270196</v>
      </c>
      <c r="V22" s="386">
        <f t="shared" si="10"/>
        <v>0.15462790948253483</v>
      </c>
      <c r="W22" s="386">
        <f t="shared" si="47"/>
        <v>0.15462790948253483</v>
      </c>
      <c r="X22" s="386">
        <f t="shared" si="11"/>
        <v>0.66501281466889794</v>
      </c>
      <c r="Y22" s="386">
        <f t="shared" si="12"/>
        <v>8.8448408734769998E-4</v>
      </c>
      <c r="Z22" s="603">
        <f t="shared" si="48"/>
        <v>8.8448408734769998E-4</v>
      </c>
      <c r="AA22" s="386">
        <f t="shared" si="13"/>
        <v>20.136770116964833</v>
      </c>
      <c r="AB22" s="386">
        <f t="shared" si="14"/>
        <v>2.311290211237881</v>
      </c>
      <c r="AC22" s="386">
        <f t="shared" si="15"/>
        <v>0</v>
      </c>
      <c r="AD22">
        <f t="shared" si="16"/>
        <v>0</v>
      </c>
      <c r="AE22" s="386">
        <f t="shared" si="17"/>
        <v>4.2981399868782377</v>
      </c>
      <c r="AF22" s="386">
        <f t="shared" si="18"/>
        <v>0</v>
      </c>
      <c r="AG22" s="386">
        <f t="shared" si="19"/>
        <v>0</v>
      </c>
      <c r="AH22" s="386">
        <f t="shared" si="20"/>
        <v>0</v>
      </c>
      <c r="AI22" s="386">
        <f t="shared" si="21"/>
        <v>0</v>
      </c>
      <c r="AJ22" s="386">
        <f t="shared" si="22"/>
        <v>11.889973158305871</v>
      </c>
      <c r="AK22" s="386">
        <f t="shared" si="23"/>
        <v>0.26860577723994478</v>
      </c>
      <c r="AL22" s="386">
        <f t="shared" si="24"/>
        <v>0.19283218354041698</v>
      </c>
      <c r="AM22">
        <f t="shared" si="25"/>
        <v>0</v>
      </c>
      <c r="AN22" s="386">
        <f t="shared" si="26"/>
        <v>0.48763423533875633</v>
      </c>
      <c r="AO22" s="386">
        <f t="shared" si="27"/>
        <v>16.251709111298226</v>
      </c>
      <c r="AP22" s="386">
        <f t="shared" si="28"/>
        <v>0.50182429317268218</v>
      </c>
      <c r="AQ22" s="386">
        <f t="shared" si="29"/>
        <v>0.40251572327044022</v>
      </c>
      <c r="AR22" s="386">
        <f t="shared" si="30"/>
        <v>1.0052297591115857</v>
      </c>
      <c r="AS22" s="386">
        <f t="shared" si="31"/>
        <v>2.311290211237881</v>
      </c>
      <c r="AT22" s="386">
        <f t="shared" si="32"/>
        <v>0</v>
      </c>
      <c r="AU22" s="386">
        <f t="shared" si="33"/>
        <v>9.8999999999999977E-2</v>
      </c>
      <c r="AV22" s="386">
        <f t="shared" si="34"/>
        <v>0.56548584682093639</v>
      </c>
      <c r="AW22" s="386">
        <f t="shared" si="35"/>
        <v>0.59328000000000003</v>
      </c>
      <c r="AX22" s="386">
        <f t="shared" si="36"/>
        <v>3.6000000000000004E-2</v>
      </c>
      <c r="AY22" s="386">
        <f t="shared" si="37"/>
        <v>0.13200000000000001</v>
      </c>
      <c r="AZ22" s="386">
        <f t="shared" si="38"/>
        <v>4.3499999999999997E-2</v>
      </c>
      <c r="BA22" s="386">
        <f t="shared" si="56"/>
        <v>0.16800000000000001</v>
      </c>
      <c r="BB22" s="386">
        <f t="shared" si="57"/>
        <v>8.9923426352341931</v>
      </c>
      <c r="BC22">
        <f t="shared" si="39"/>
        <v>144</v>
      </c>
      <c r="BD22" s="604">
        <f t="shared" si="50"/>
        <v>0.94122357707356752</v>
      </c>
      <c r="BE22" s="614">
        <f t="shared" si="40"/>
        <v>29.331711766937818</v>
      </c>
      <c r="BF22" s="614">
        <f t="shared" si="41"/>
        <v>50.261487955579284</v>
      </c>
      <c r="BG22" s="9"/>
      <c r="BH22" s="4">
        <f t="shared" si="51"/>
        <v>94.122357707356755</v>
      </c>
      <c r="BI22" s="386">
        <f t="shared" si="52"/>
        <v>1.6200604135147934</v>
      </c>
      <c r="BJ22" s="386">
        <f t="shared" si="53"/>
        <v>5.8900039813285803</v>
      </c>
      <c r="BK22" s="386">
        <f t="shared" si="54"/>
        <v>3.2669999999999991E-2</v>
      </c>
      <c r="BL22" s="386">
        <f t="shared" si="55"/>
        <v>0.56548584682093639</v>
      </c>
      <c r="BR22" s="18"/>
      <c r="BS22" s="19"/>
    </row>
    <row r="23" spans="1:82" x14ac:dyDescent="0.2">
      <c r="A23" s="36" t="s">
        <v>90</v>
      </c>
      <c r="B23" s="39">
        <f>RCinEsr*1000</f>
        <v>2</v>
      </c>
      <c r="C23" s="484" t="s">
        <v>674</v>
      </c>
      <c r="D23" s="482" t="s">
        <v>689</v>
      </c>
      <c r="G23">
        <v>14</v>
      </c>
      <c r="H23" s="610">
        <f t="shared" si="0"/>
        <v>8.1</v>
      </c>
      <c r="I23" s="445" t="str">
        <f t="shared" si="1"/>
        <v>BOOST</v>
      </c>
      <c r="J23">
        <f t="shared" si="43"/>
        <v>2</v>
      </c>
      <c r="K23">
        <f t="shared" si="2"/>
        <v>12</v>
      </c>
      <c r="L23" s="4">
        <f t="shared" si="3"/>
        <v>19.753086419753085</v>
      </c>
      <c r="M23" s="4">
        <f t="shared" si="4"/>
        <v>18.068298768127246</v>
      </c>
      <c r="N23" s="386">
        <f t="shared" si="5"/>
        <v>1</v>
      </c>
      <c r="O23" s="386">
        <f t="shared" si="44"/>
        <v>0.33585335542667782</v>
      </c>
      <c r="P23" s="4">
        <f t="shared" si="6"/>
        <v>2.2630181963239138</v>
      </c>
      <c r="Q23" s="386">
        <f t="shared" si="7"/>
        <v>19.763886107054997</v>
      </c>
      <c r="R23" s="386">
        <f t="shared" si="8"/>
        <v>1.4615478867524971</v>
      </c>
      <c r="S23" s="386">
        <f t="shared" si="45"/>
        <v>9.21943811412341E-2</v>
      </c>
      <c r="T23" s="386">
        <f t="shared" si="46"/>
        <v>1.5537422678937312</v>
      </c>
      <c r="U23" s="4">
        <f t="shared" si="9"/>
        <v>8.5460751040983816</v>
      </c>
      <c r="V23" s="386">
        <f t="shared" si="10"/>
        <v>0.14607079936978035</v>
      </c>
      <c r="W23" s="386">
        <f t="shared" si="47"/>
        <v>0.14607079936978035</v>
      </c>
      <c r="X23" s="386">
        <f t="shared" si="11"/>
        <v>0.65327708241431648</v>
      </c>
      <c r="Y23" s="386">
        <f t="shared" si="12"/>
        <v>8.5354189281552331E-4</v>
      </c>
      <c r="Z23" s="603">
        <f t="shared" si="48"/>
        <v>8.5354189281552331E-4</v>
      </c>
      <c r="AA23" s="386">
        <f t="shared" si="13"/>
        <v>19.763886107054997</v>
      </c>
      <c r="AB23" s="386">
        <f t="shared" si="14"/>
        <v>2.2264838061000565</v>
      </c>
      <c r="AC23" s="386">
        <f t="shared" si="15"/>
        <v>0</v>
      </c>
      <c r="AD23">
        <f t="shared" si="16"/>
        <v>0</v>
      </c>
      <c r="AE23" s="386">
        <f t="shared" si="17"/>
        <v>4.0138287474163183</v>
      </c>
      <c r="AF23" s="386">
        <f t="shared" si="18"/>
        <v>0</v>
      </c>
      <c r="AG23" s="386">
        <f t="shared" si="19"/>
        <v>0</v>
      </c>
      <c r="AH23" s="386">
        <f t="shared" si="20"/>
        <v>0</v>
      </c>
      <c r="AI23" s="386">
        <f t="shared" si="21"/>
        <v>0</v>
      </c>
      <c r="AJ23" s="386">
        <f t="shared" si="22"/>
        <v>11.453736516517257</v>
      </c>
      <c r="AK23" s="386">
        <f t="shared" si="23"/>
        <v>0.24925735236062166</v>
      </c>
      <c r="AL23" s="386">
        <f t="shared" si="24"/>
        <v>0.18926121717855737</v>
      </c>
      <c r="AM23">
        <f t="shared" si="25"/>
        <v>0</v>
      </c>
      <c r="AN23" s="386">
        <f t="shared" si="26"/>
        <v>0.46152633605303461</v>
      </c>
      <c r="AO23" s="386">
        <f t="shared" si="27"/>
        <v>16.106617083138243</v>
      </c>
      <c r="AP23" s="386">
        <f t="shared" si="28"/>
        <v>0.49290391633939734</v>
      </c>
      <c r="AQ23" s="386">
        <f t="shared" si="29"/>
        <v>0.39506172839506171</v>
      </c>
      <c r="AR23" s="386">
        <f t="shared" si="30"/>
        <v>0.98507512182130508</v>
      </c>
      <c r="AS23" s="386">
        <f t="shared" si="31"/>
        <v>2.2264838061000565</v>
      </c>
      <c r="AT23" s="386">
        <f t="shared" si="32"/>
        <v>0</v>
      </c>
      <c r="AU23" s="386">
        <f t="shared" si="33"/>
        <v>9.8999999999999977E-2</v>
      </c>
      <c r="AV23" s="386">
        <f t="shared" si="34"/>
        <v>0.52475232075920353</v>
      </c>
      <c r="AW23" s="386">
        <f t="shared" si="35"/>
        <v>0.59328000000000003</v>
      </c>
      <c r="AX23" s="386">
        <f t="shared" si="36"/>
        <v>3.6000000000000004E-2</v>
      </c>
      <c r="AY23" s="386">
        <f t="shared" si="37"/>
        <v>0.13200000000000001</v>
      </c>
      <c r="AZ23" s="386">
        <f t="shared" si="38"/>
        <v>4.3499999999999997E-2</v>
      </c>
      <c r="BA23" s="386">
        <f t="shared" si="56"/>
        <v>0.16800000000000001</v>
      </c>
      <c r="BB23" s="386">
        <f t="shared" si="57"/>
        <v>8.5461291352061899</v>
      </c>
      <c r="BC23">
        <f t="shared" si="39"/>
        <v>144</v>
      </c>
      <c r="BD23" s="604">
        <f t="shared" si="50"/>
        <v>0.94397675520411595</v>
      </c>
      <c r="BE23" s="614">
        <f t="shared" si="40"/>
        <v>28.026316802651728</v>
      </c>
      <c r="BF23" s="614">
        <f t="shared" si="41"/>
        <v>49.253756091065256</v>
      </c>
      <c r="BG23" s="9"/>
      <c r="BH23" s="4">
        <f t="shared" si="51"/>
        <v>94.397675520411596</v>
      </c>
      <c r="BI23" s="386">
        <f t="shared" si="52"/>
        <v>1.5537422678937312</v>
      </c>
      <c r="BJ23" s="386">
        <f t="shared" si="53"/>
        <v>5.5594302052906581</v>
      </c>
      <c r="BK23" s="386">
        <f t="shared" si="54"/>
        <v>3.2669999999999991E-2</v>
      </c>
      <c r="BL23" s="386">
        <f t="shared" si="55"/>
        <v>0.52475232075920353</v>
      </c>
      <c r="BR23" s="18"/>
      <c r="BS23" s="19"/>
    </row>
    <row r="24" spans="1:82" x14ac:dyDescent="0.2">
      <c r="A24" s="35" t="s">
        <v>27</v>
      </c>
      <c r="B24" s="39">
        <f>Cout*1000000</f>
        <v>600</v>
      </c>
      <c r="C24" s="483" t="s">
        <v>675</v>
      </c>
      <c r="D24" s="482" t="s">
        <v>692</v>
      </c>
      <c r="G24">
        <v>15</v>
      </c>
      <c r="H24" s="610">
        <f t="shared" si="0"/>
        <v>8.25</v>
      </c>
      <c r="I24" s="445" t="str">
        <f t="shared" si="1"/>
        <v>BOOST</v>
      </c>
      <c r="J24">
        <f t="shared" si="43"/>
        <v>2</v>
      </c>
      <c r="K24">
        <f t="shared" si="2"/>
        <v>12</v>
      </c>
      <c r="L24" s="4">
        <f t="shared" si="3"/>
        <v>19.393939393939394</v>
      </c>
      <c r="M24" s="4">
        <f t="shared" si="4"/>
        <v>17.727180565463897</v>
      </c>
      <c r="N24" s="386">
        <f t="shared" si="5"/>
        <v>1</v>
      </c>
      <c r="O24" s="386">
        <f t="shared" si="44"/>
        <v>0.32307340382269212</v>
      </c>
      <c r="P24" s="4">
        <f t="shared" si="6"/>
        <v>2.2190622731166365</v>
      </c>
      <c r="Q24" s="386">
        <f t="shared" si="7"/>
        <v>19.404515926199373</v>
      </c>
      <c r="R24" s="386">
        <f t="shared" si="8"/>
        <v>1.4029686395285446</v>
      </c>
      <c r="S24" s="386">
        <f t="shared" si="45"/>
        <v>8.812065167555462E-2</v>
      </c>
      <c r="T24" s="386">
        <f t="shared" si="46"/>
        <v>1.4910892912040992</v>
      </c>
      <c r="U24" s="4">
        <f t="shared" si="9"/>
        <v>8.3019283292506501</v>
      </c>
      <c r="V24" s="386">
        <f t="shared" si="10"/>
        <v>0.13784402796802897</v>
      </c>
      <c r="W24" s="386">
        <f t="shared" si="47"/>
        <v>0.13784402796802897</v>
      </c>
      <c r="X24" s="386">
        <f t="shared" si="11"/>
        <v>0.6405881003662165</v>
      </c>
      <c r="Y24" s="386">
        <f t="shared" si="12"/>
        <v>8.2070622866159577E-4</v>
      </c>
      <c r="Z24" s="603">
        <f t="shared" si="48"/>
        <v>8.2070622866159577E-4</v>
      </c>
      <c r="AA24" s="386">
        <f t="shared" si="13"/>
        <v>19.404515926199373</v>
      </c>
      <c r="AB24" s="386">
        <f t="shared" si="14"/>
        <v>2.1462508584817135</v>
      </c>
      <c r="AC24" s="386">
        <f t="shared" si="15"/>
        <v>0</v>
      </c>
      <c r="AD24">
        <f t="shared" si="16"/>
        <v>0</v>
      </c>
      <c r="AE24" s="386">
        <f t="shared" si="17"/>
        <v>3.7604056138933055</v>
      </c>
      <c r="AF24" s="386">
        <f t="shared" si="18"/>
        <v>0</v>
      </c>
      <c r="AG24" s="386">
        <f t="shared" si="19"/>
        <v>0</v>
      </c>
      <c r="AH24" s="386">
        <f t="shared" si="20"/>
        <v>0</v>
      </c>
      <c r="AI24" s="386">
        <f t="shared" si="21"/>
        <v>0</v>
      </c>
      <c r="AJ24" s="386">
        <f t="shared" si="22"/>
        <v>11.029438839147808</v>
      </c>
      <c r="AK24" s="386">
        <f t="shared" si="23"/>
        <v>0.23113219010235408</v>
      </c>
      <c r="AL24" s="386">
        <f t="shared" si="24"/>
        <v>0.18582010413894728</v>
      </c>
      <c r="AM24">
        <f t="shared" si="25"/>
        <v>0</v>
      </c>
      <c r="AN24" s="386">
        <f t="shared" si="26"/>
        <v>0.4371606750934981</v>
      </c>
      <c r="AO24" s="386">
        <f t="shared" si="27"/>
        <v>15.965172007329674</v>
      </c>
      <c r="AP24" s="386">
        <f t="shared" si="28"/>
        <v>0.48428476272488369</v>
      </c>
      <c r="AQ24" s="386">
        <f t="shared" si="29"/>
        <v>0.38787878787878788</v>
      </c>
      <c r="AR24" s="386">
        <f t="shared" si="30"/>
        <v>0.96569812839876346</v>
      </c>
      <c r="AS24" s="386">
        <f t="shared" si="31"/>
        <v>2.1462508584817135</v>
      </c>
      <c r="AT24" s="386">
        <f t="shared" si="32"/>
        <v>0</v>
      </c>
      <c r="AU24" s="386">
        <f t="shared" si="33"/>
        <v>9.8999999999999977E-2</v>
      </c>
      <c r="AV24" s="386">
        <f t="shared" si="34"/>
        <v>0.4865940844260086</v>
      </c>
      <c r="AW24" s="386">
        <f t="shared" si="35"/>
        <v>0.59328000000000003</v>
      </c>
      <c r="AX24" s="386">
        <f t="shared" si="36"/>
        <v>3.6000000000000004E-2</v>
      </c>
      <c r="AY24" s="386">
        <f t="shared" si="37"/>
        <v>0.13200000000000001</v>
      </c>
      <c r="AZ24" s="386">
        <f t="shared" si="38"/>
        <v>4.3499999999999997E-2</v>
      </c>
      <c r="BA24" s="386">
        <f t="shared" si="56"/>
        <v>0.16800000000000001</v>
      </c>
      <c r="BB24" s="386">
        <f t="shared" si="57"/>
        <v>8.1398925272123659</v>
      </c>
      <c r="BC24">
        <f t="shared" si="39"/>
        <v>144</v>
      </c>
      <c r="BD24" s="604">
        <f t="shared" si="50"/>
        <v>0.94649731643686796</v>
      </c>
      <c r="BE24" s="614">
        <f t="shared" si="40"/>
        <v>26.808033754674902</v>
      </c>
      <c r="BF24" s="614">
        <f t="shared" si="41"/>
        <v>48.284906419938174</v>
      </c>
      <c r="BG24" s="9"/>
      <c r="BH24" s="4">
        <f t="shared" si="51"/>
        <v>94.649731643686792</v>
      </c>
      <c r="BI24" s="386">
        <f t="shared" si="52"/>
        <v>1.4910892912040992</v>
      </c>
      <c r="BJ24" s="386">
        <f t="shared" si="53"/>
        <v>5.2622644173855671</v>
      </c>
      <c r="BK24" s="386">
        <f t="shared" si="54"/>
        <v>3.2669999999999991E-2</v>
      </c>
      <c r="BL24" s="386">
        <f t="shared" si="55"/>
        <v>0.4865940844260086</v>
      </c>
      <c r="BR24" s="18"/>
      <c r="BS24" s="19"/>
    </row>
    <row r="25" spans="1:82" x14ac:dyDescent="0.2">
      <c r="A25" s="35" t="s">
        <v>89</v>
      </c>
      <c r="B25" s="40">
        <f>CoutEsr*1000</f>
        <v>2</v>
      </c>
      <c r="C25" s="484" t="s">
        <v>674</v>
      </c>
      <c r="D25" s="482" t="s">
        <v>691</v>
      </c>
      <c r="G25">
        <v>16</v>
      </c>
      <c r="H25" s="610">
        <f t="shared" si="0"/>
        <v>8.4</v>
      </c>
      <c r="I25" s="445" t="str">
        <f t="shared" si="1"/>
        <v>BOOST</v>
      </c>
      <c r="J25">
        <f t="shared" si="43"/>
        <v>2</v>
      </c>
      <c r="K25">
        <f t="shared" si="2"/>
        <v>12</v>
      </c>
      <c r="L25" s="4">
        <f t="shared" si="3"/>
        <v>19.047619047619047</v>
      </c>
      <c r="M25" s="4">
        <f t="shared" si="4"/>
        <v>17.398957730167922</v>
      </c>
      <c r="N25" s="386">
        <f t="shared" si="5"/>
        <v>1</v>
      </c>
      <c r="O25" s="386">
        <f t="shared" si="44"/>
        <v>0.31030351437699671</v>
      </c>
      <c r="P25" s="4">
        <f t="shared" si="6"/>
        <v>2.1718102100469032</v>
      </c>
      <c r="Q25" s="386">
        <f t="shared" si="7"/>
        <v>19.057934166174952</v>
      </c>
      <c r="R25" s="386">
        <f t="shared" si="8"/>
        <v>1.3479436131760174</v>
      </c>
      <c r="S25" s="386">
        <f t="shared" si="45"/>
        <v>8.3857282613940543E-2</v>
      </c>
      <c r="T25" s="386">
        <f t="shared" si="46"/>
        <v>1.431800895789958</v>
      </c>
      <c r="U25" s="4">
        <f t="shared" si="9"/>
        <v>8.0600457260953267</v>
      </c>
      <c r="V25" s="386">
        <f t="shared" si="10"/>
        <v>0.12992867421349508</v>
      </c>
      <c r="W25" s="386">
        <f t="shared" si="47"/>
        <v>0.12992867421349508</v>
      </c>
      <c r="X25" s="386">
        <f t="shared" si="11"/>
        <v>0.6269476046996787</v>
      </c>
      <c r="Y25" s="386">
        <f t="shared" si="12"/>
        <v>7.8612659807732925E-4</v>
      </c>
      <c r="Z25" s="603">
        <f t="shared" si="48"/>
        <v>7.8612659807732925E-4</v>
      </c>
      <c r="AA25" s="386">
        <f t="shared" si="13"/>
        <v>19.057934166174952</v>
      </c>
      <c r="AB25" s="386">
        <f t="shared" si="14"/>
        <v>2.0702676716888742</v>
      </c>
      <c r="AC25" s="386">
        <f t="shared" si="15"/>
        <v>0</v>
      </c>
      <c r="AD25">
        <f t="shared" si="16"/>
        <v>0</v>
      </c>
      <c r="AE25" s="386">
        <f t="shared" si="17"/>
        <v>3.5332027634113268</v>
      </c>
      <c r="AF25" s="386">
        <f t="shared" si="18"/>
        <v>0</v>
      </c>
      <c r="AG25" s="386">
        <f t="shared" si="19"/>
        <v>0</v>
      </c>
      <c r="AH25" s="386">
        <f t="shared" si="20"/>
        <v>0</v>
      </c>
      <c r="AI25" s="386">
        <f t="shared" si="21"/>
        <v>0</v>
      </c>
      <c r="AJ25" s="386">
        <f t="shared" si="22"/>
        <v>10.616201903067369</v>
      </c>
      <c r="AK25" s="386">
        <f t="shared" si="23"/>
        <v>0.2141371114087133</v>
      </c>
      <c r="AL25" s="386">
        <f t="shared" si="24"/>
        <v>0.18250188799360892</v>
      </c>
      <c r="AM25">
        <f t="shared" si="25"/>
        <v>0</v>
      </c>
      <c r="AN25" s="386">
        <f t="shared" si="26"/>
        <v>0.41438608735307131</v>
      </c>
      <c r="AO25" s="386">
        <f t="shared" si="27"/>
        <v>15.827226915526527</v>
      </c>
      <c r="AP25" s="386">
        <f t="shared" si="28"/>
        <v>0.47595211248757796</v>
      </c>
      <c r="AQ25" s="386">
        <f t="shared" si="29"/>
        <v>0.38095238095238093</v>
      </c>
      <c r="AR25" s="386">
        <f t="shared" si="30"/>
        <v>0.94705506522736393</v>
      </c>
      <c r="AS25" s="386">
        <f t="shared" si="31"/>
        <v>2.0702676716888742</v>
      </c>
      <c r="AT25" s="386">
        <f t="shared" si="32"/>
        <v>0</v>
      </c>
      <c r="AU25" s="386">
        <f t="shared" si="33"/>
        <v>9.8999999999999977E-2</v>
      </c>
      <c r="AV25" s="386">
        <f t="shared" si="34"/>
        <v>0.45081497138676485</v>
      </c>
      <c r="AW25" s="386">
        <f t="shared" si="35"/>
        <v>0.59328000000000003</v>
      </c>
      <c r="AX25" s="386">
        <f t="shared" si="36"/>
        <v>3.6000000000000004E-2</v>
      </c>
      <c r="AY25" s="386">
        <f t="shared" si="37"/>
        <v>0.13200000000000001</v>
      </c>
      <c r="AZ25" s="386">
        <f t="shared" si="38"/>
        <v>4.3499999999999997E-2</v>
      </c>
      <c r="BA25" s="386">
        <f t="shared" si="56"/>
        <v>0.16800000000000001</v>
      </c>
      <c r="BB25" s="386">
        <f t="shared" si="57"/>
        <v>7.768254583980057</v>
      </c>
      <c r="BC25">
        <f t="shared" si="39"/>
        <v>144</v>
      </c>
      <c r="BD25" s="604">
        <f t="shared" si="50"/>
        <v>0.94881502323872657</v>
      </c>
      <c r="BE25" s="614">
        <f t="shared" si="40"/>
        <v>25.669304367653567</v>
      </c>
      <c r="BF25" s="614">
        <f t="shared" si="41"/>
        <v>47.3527532613682</v>
      </c>
      <c r="BG25" s="9"/>
      <c r="BH25" s="4">
        <f t="shared" si="51"/>
        <v>94.881502323872652</v>
      </c>
      <c r="BI25" s="386">
        <f t="shared" si="52"/>
        <v>1.431800895789958</v>
      </c>
      <c r="BJ25" s="386">
        <f t="shared" si="53"/>
        <v>4.9936439159917621</v>
      </c>
      <c r="BK25" s="386">
        <f t="shared" si="54"/>
        <v>3.2669999999999991E-2</v>
      </c>
      <c r="BL25" s="386">
        <f t="shared" si="55"/>
        <v>0.45081497138676485</v>
      </c>
      <c r="BP25" t="s">
        <v>151</v>
      </c>
      <c r="BQ25" t="s">
        <v>4</v>
      </c>
      <c r="BR25" t="s">
        <v>6</v>
      </c>
      <c r="BS25" t="s">
        <v>5</v>
      </c>
      <c r="BT25" t="s">
        <v>152</v>
      </c>
      <c r="BU25" t="s">
        <v>153</v>
      </c>
    </row>
    <row r="26" spans="1:82" x14ac:dyDescent="0.2">
      <c r="A26" s="24" t="s">
        <v>116</v>
      </c>
      <c r="B26" s="37" t="s">
        <v>115</v>
      </c>
      <c r="C26" s="24" t="s">
        <v>80</v>
      </c>
      <c r="D26" s="17" t="s">
        <v>111</v>
      </c>
      <c r="G26">
        <v>17</v>
      </c>
      <c r="H26" s="610">
        <f t="shared" si="0"/>
        <v>8.5500000000000007</v>
      </c>
      <c r="I26" s="445" t="str">
        <f t="shared" si="1"/>
        <v>BOOST</v>
      </c>
      <c r="J26">
        <f t="shared" si="43"/>
        <v>2</v>
      </c>
      <c r="K26">
        <f t="shared" si="2"/>
        <v>12</v>
      </c>
      <c r="L26" s="4">
        <f t="shared" si="3"/>
        <v>18.713450292397656</v>
      </c>
      <c r="M26" s="4">
        <f t="shared" si="4"/>
        <v>17.082899926699014</v>
      </c>
      <c r="N26" s="386">
        <f t="shared" si="5"/>
        <v>1</v>
      </c>
      <c r="O26" s="386">
        <f t="shared" si="44"/>
        <v>0.297543154178109</v>
      </c>
      <c r="P26" s="4">
        <f t="shared" si="6"/>
        <v>2.1212675933927203</v>
      </c>
      <c r="Q26" s="386">
        <f t="shared" si="7"/>
        <v>18.723466644728735</v>
      </c>
      <c r="R26" s="386">
        <f t="shared" si="8"/>
        <v>1.2961828088999272</v>
      </c>
      <c r="S26" s="386">
        <f t="shared" si="45"/>
        <v>7.9429006247737119E-2</v>
      </c>
      <c r="T26" s="386">
        <f t="shared" si="46"/>
        <v>1.3756118151476644</v>
      </c>
      <c r="U26" s="4">
        <f t="shared" si="9"/>
        <v>7.8200787619768839</v>
      </c>
      <c r="V26" s="386">
        <f t="shared" si="10"/>
        <v>0.12230726368704384</v>
      </c>
      <c r="W26" s="386">
        <f t="shared" si="47"/>
        <v>0.12230726368704384</v>
      </c>
      <c r="X26" s="386">
        <f t="shared" si="11"/>
        <v>0.61235720803425842</v>
      </c>
      <c r="Y26" s="386">
        <f t="shared" si="12"/>
        <v>7.4996270046302402E-4</v>
      </c>
      <c r="Z26" s="603">
        <f t="shared" si="48"/>
        <v>7.4996270046302402E-4</v>
      </c>
      <c r="AA26" s="386">
        <f t="shared" si="13"/>
        <v>18.723466644728735</v>
      </c>
      <c r="AB26" s="386">
        <f t="shared" si="14"/>
        <v>1.9982387582187362</v>
      </c>
      <c r="AC26" s="386">
        <f t="shared" si="15"/>
        <v>0</v>
      </c>
      <c r="AD26">
        <f t="shared" si="16"/>
        <v>0</v>
      </c>
      <c r="AE26" s="386">
        <f t="shared" si="17"/>
        <v>3.328443865563687</v>
      </c>
      <c r="AF26" s="386">
        <f t="shared" si="18"/>
        <v>0</v>
      </c>
      <c r="AG26" s="386">
        <f t="shared" si="19"/>
        <v>0</v>
      </c>
      <c r="AH26" s="386">
        <f t="shared" si="20"/>
        <v>0</v>
      </c>
      <c r="AI26" s="386">
        <f t="shared" si="21"/>
        <v>0</v>
      </c>
      <c r="AJ26" s="386">
        <f t="shared" si="22"/>
        <v>10.213186032456779</v>
      </c>
      <c r="AK26" s="386">
        <f t="shared" si="23"/>
        <v>0.19818742097378345</v>
      </c>
      <c r="AL26" s="386">
        <f t="shared" si="24"/>
        <v>0.1793001004849491</v>
      </c>
      <c r="AM26">
        <f t="shared" si="25"/>
        <v>0</v>
      </c>
      <c r="AN26" s="386">
        <f t="shared" si="26"/>
        <v>0.39306773769925551</v>
      </c>
      <c r="AO26" s="386">
        <f t="shared" si="27"/>
        <v>15.692642679380016</v>
      </c>
      <c r="AP26" s="386">
        <f t="shared" si="28"/>
        <v>0.46789216509912857</v>
      </c>
      <c r="AQ26" s="386">
        <f t="shared" si="29"/>
        <v>0.37426900584795314</v>
      </c>
      <c r="AR26" s="386">
        <f t="shared" si="30"/>
        <v>0.9291053982230566</v>
      </c>
      <c r="AS26" s="386">
        <f t="shared" si="31"/>
        <v>1.9982387582187362</v>
      </c>
      <c r="AT26" s="386">
        <f t="shared" si="32"/>
        <v>0</v>
      </c>
      <c r="AU26" s="386">
        <f t="shared" si="33"/>
        <v>9.8999999999999977E-2</v>
      </c>
      <c r="AV26" s="386">
        <f t="shared" si="34"/>
        <v>0.41723667573428097</v>
      </c>
      <c r="AW26" s="386">
        <f t="shared" si="35"/>
        <v>0.59328000000000003</v>
      </c>
      <c r="AX26" s="386">
        <f t="shared" si="36"/>
        <v>3.6000000000000004E-2</v>
      </c>
      <c r="AY26" s="386">
        <f t="shared" si="37"/>
        <v>0.13200000000000001</v>
      </c>
      <c r="AZ26" s="386">
        <f t="shared" si="38"/>
        <v>4.3499999999999997E-2</v>
      </c>
      <c r="BA26" s="386">
        <f t="shared" si="56"/>
        <v>0.16800000000000001</v>
      </c>
      <c r="BB26" s="386">
        <f t="shared" si="57"/>
        <v>7.4268027187554519</v>
      </c>
      <c r="BC26">
        <f t="shared" si="39"/>
        <v>144</v>
      </c>
      <c r="BD26" s="604">
        <f t="shared" si="50"/>
        <v>0.95095450352637223</v>
      </c>
      <c r="BE26" s="614">
        <f t="shared" si="40"/>
        <v>24.603386884962774</v>
      </c>
      <c r="BF26" s="614">
        <f t="shared" si="41"/>
        <v>46.455269911152833</v>
      </c>
      <c r="BG26" s="9"/>
      <c r="BH26" s="4">
        <f t="shared" si="51"/>
        <v>95.095450352637229</v>
      </c>
      <c r="BI26" s="386">
        <f t="shared" si="52"/>
        <v>1.3756118151476644</v>
      </c>
      <c r="BJ26" s="386">
        <f t="shared" si="53"/>
        <v>4.7496170014859995</v>
      </c>
      <c r="BK26" s="386">
        <f t="shared" si="54"/>
        <v>3.2669999999999991E-2</v>
      </c>
      <c r="BL26" s="386">
        <f t="shared" si="55"/>
        <v>0.41723667573428097</v>
      </c>
      <c r="BP26" t="s">
        <v>154</v>
      </c>
      <c r="BQ26">
        <v>9.9989640000000009</v>
      </c>
      <c r="BR26">
        <v>0.1027</v>
      </c>
      <c r="BS26">
        <v>5.1211359999999999</v>
      </c>
      <c r="BT26">
        <v>61.870683235325004</v>
      </c>
      <c r="BU26">
        <v>324.12365701136014</v>
      </c>
    </row>
    <row r="27" spans="1:82" x14ac:dyDescent="0.2">
      <c r="A27" s="22" t="s">
        <v>65</v>
      </c>
      <c r="B27" s="5">
        <f>RdsonDRT</f>
        <v>1.5</v>
      </c>
      <c r="C27" s="486" t="s">
        <v>120</v>
      </c>
      <c r="D27" s="482" t="s">
        <v>718</v>
      </c>
      <c r="G27">
        <v>18</v>
      </c>
      <c r="H27" s="610">
        <f t="shared" si="0"/>
        <v>8.6999999999999993</v>
      </c>
      <c r="I27" s="445" t="str">
        <f t="shared" si="1"/>
        <v>BOOST</v>
      </c>
      <c r="J27">
        <f t="shared" si="43"/>
        <v>2</v>
      </c>
      <c r="K27">
        <f t="shared" si="2"/>
        <v>12</v>
      </c>
      <c r="L27" s="4">
        <f t="shared" si="3"/>
        <v>18.390804597701152</v>
      </c>
      <c r="M27" s="4">
        <f t="shared" si="4"/>
        <v>16.778331761218165</v>
      </c>
      <c r="N27" s="386">
        <f t="shared" si="5"/>
        <v>1</v>
      </c>
      <c r="O27" s="386">
        <f t="shared" si="44"/>
        <v>0.28479182729375491</v>
      </c>
      <c r="P27" s="4">
        <f t="shared" si="6"/>
        <v>2.0674396188280313</v>
      </c>
      <c r="Q27" s="386">
        <f t="shared" si="7"/>
        <v>18.400486025255351</v>
      </c>
      <c r="R27" s="386">
        <f t="shared" si="8"/>
        <v>1.2474259427260999</v>
      </c>
      <c r="S27" s="386">
        <f t="shared" si="45"/>
        <v>7.4861831184302993E-2</v>
      </c>
      <c r="T27" s="386">
        <f t="shared" si="46"/>
        <v>1.3222877739104029</v>
      </c>
      <c r="U27" s="4">
        <f t="shared" si="9"/>
        <v>7.5816762558841697</v>
      </c>
      <c r="V27" s="386">
        <f t="shared" si="10"/>
        <v>0.11496362969807561</v>
      </c>
      <c r="W27" s="386">
        <f t="shared" si="47"/>
        <v>0.11496362969807561</v>
      </c>
      <c r="X27" s="386">
        <f t="shared" si="11"/>
        <v>0.59681841023183058</v>
      </c>
      <c r="Y27" s="386">
        <f t="shared" si="12"/>
        <v>7.1238442958329921E-4</v>
      </c>
      <c r="Z27" s="603">
        <f t="shared" si="48"/>
        <v>7.1238442958329921E-4</v>
      </c>
      <c r="AA27" s="386">
        <f t="shared" si="13"/>
        <v>18.400486025255351</v>
      </c>
      <c r="AB27" s="386">
        <f t="shared" si="14"/>
        <v>1.9298939500040195</v>
      </c>
      <c r="AC27" s="386">
        <f t="shared" si="15"/>
        <v>0</v>
      </c>
      <c r="AD27">
        <f t="shared" si="16"/>
        <v>0</v>
      </c>
      <c r="AE27" s="386">
        <f t="shared" si="17"/>
        <v>3.1430411825782794</v>
      </c>
      <c r="AF27" s="386">
        <f t="shared" si="18"/>
        <v>0</v>
      </c>
      <c r="AG27" s="386">
        <f t="shared" si="19"/>
        <v>0</v>
      </c>
      <c r="AH27" s="386">
        <f t="shared" si="20"/>
        <v>0</v>
      </c>
      <c r="AI27" s="386">
        <f t="shared" si="21"/>
        <v>0</v>
      </c>
      <c r="AJ27" s="386">
        <f t="shared" si="22"/>
        <v>9.8195832307387043</v>
      </c>
      <c r="AK27" s="386">
        <f t="shared" si="23"/>
        <v>0.18320600816826907</v>
      </c>
      <c r="AL27" s="386">
        <f t="shared" si="24"/>
        <v>0.1762087194421052</v>
      </c>
      <c r="AM27">
        <f t="shared" si="25"/>
        <v>0</v>
      </c>
      <c r="AN27" s="386">
        <f t="shared" si="26"/>
        <v>0.3730850107144566</v>
      </c>
      <c r="AO27" s="386">
        <f t="shared" si="27"/>
        <v>15.561287579767065</v>
      </c>
      <c r="AP27" s="386">
        <f t="shared" si="28"/>
        <v>0.46009197516640415</v>
      </c>
      <c r="AQ27" s="386">
        <f t="shared" si="29"/>
        <v>0.36781609195402304</v>
      </c>
      <c r="AR27" s="386">
        <f t="shared" si="30"/>
        <v>0.91181149771285619</v>
      </c>
      <c r="AS27" s="386">
        <f t="shared" si="31"/>
        <v>1.9298939500040195</v>
      </c>
      <c r="AT27" s="386">
        <f t="shared" si="32"/>
        <v>0</v>
      </c>
      <c r="AU27" s="386">
        <f t="shared" si="33"/>
        <v>9.8999999999999977E-2</v>
      </c>
      <c r="AV27" s="386">
        <f t="shared" si="34"/>
        <v>0.38569685930161912</v>
      </c>
      <c r="AW27" s="386">
        <f t="shared" si="35"/>
        <v>0.59328000000000003</v>
      </c>
      <c r="AX27" s="386">
        <f t="shared" si="36"/>
        <v>3.6000000000000004E-2</v>
      </c>
      <c r="AY27" s="386">
        <f t="shared" si="37"/>
        <v>0.13200000000000001</v>
      </c>
      <c r="AZ27" s="386">
        <f t="shared" si="38"/>
        <v>4.3499999999999997E-2</v>
      </c>
      <c r="BA27" s="386">
        <f t="shared" si="56"/>
        <v>0.16800000000000001</v>
      </c>
      <c r="BB27" s="386">
        <f t="shared" si="57"/>
        <v>7.1118783383452735</v>
      </c>
      <c r="BC27">
        <f t="shared" si="39"/>
        <v>144</v>
      </c>
      <c r="BD27" s="604">
        <f t="shared" si="50"/>
        <v>0.95293633818500023</v>
      </c>
      <c r="BE27" s="614">
        <f t="shared" si="40"/>
        <v>23.60425053572283</v>
      </c>
      <c r="BF27" s="614">
        <f t="shared" si="41"/>
        <v>45.590574885642809</v>
      </c>
      <c r="BG27" s="9"/>
      <c r="BH27" s="4">
        <f t="shared" si="51"/>
        <v>95.293633818500027</v>
      </c>
      <c r="BI27" s="386">
        <f t="shared" si="52"/>
        <v>1.3222877739104029</v>
      </c>
      <c r="BJ27" s="386">
        <f t="shared" si="53"/>
        <v>4.5269376910055925</v>
      </c>
      <c r="BK27" s="386">
        <f t="shared" si="54"/>
        <v>3.2669999999999991E-2</v>
      </c>
      <c r="BL27" s="386">
        <f t="shared" si="55"/>
        <v>0.38569685930161912</v>
      </c>
      <c r="BP27" t="s">
        <v>155</v>
      </c>
      <c r="BQ27">
        <v>9.9986669999999993</v>
      </c>
      <c r="BR27">
        <v>0.1166</v>
      </c>
      <c r="BS27">
        <v>5.1212980000000003</v>
      </c>
      <c r="BT27">
        <v>64.729420570558148</v>
      </c>
      <c r="BU27">
        <v>325.37886459483997</v>
      </c>
    </row>
    <row r="28" spans="1:82" x14ac:dyDescent="0.2">
      <c r="A28" s="22" t="s">
        <v>150</v>
      </c>
      <c r="B28" s="5">
        <f>RdsonDRT2</f>
        <v>1</v>
      </c>
      <c r="C28" s="486" t="s">
        <v>120</v>
      </c>
      <c r="D28" s="482" t="s">
        <v>717</v>
      </c>
      <c r="G28">
        <v>19</v>
      </c>
      <c r="H28" s="610">
        <f t="shared" si="0"/>
        <v>8.85</v>
      </c>
      <c r="I28" s="445" t="str">
        <f t="shared" si="1"/>
        <v>BOOST</v>
      </c>
      <c r="J28">
        <f t="shared" si="43"/>
        <v>2</v>
      </c>
      <c r="K28">
        <f t="shared" si="2"/>
        <v>12</v>
      </c>
      <c r="L28" s="4">
        <f t="shared" si="3"/>
        <v>18.07909604519774</v>
      </c>
      <c r="M28" s="4">
        <f t="shared" si="4"/>
        <v>16.484627647460712</v>
      </c>
      <c r="N28" s="386">
        <f t="shared" si="5"/>
        <v>1</v>
      </c>
      <c r="O28" s="386">
        <f t="shared" si="44"/>
        <v>0.2720490716180371</v>
      </c>
      <c r="P28" s="4">
        <f t="shared" si="6"/>
        <v>2.0103311249726183</v>
      </c>
      <c r="Q28" s="386">
        <f t="shared" si="7"/>
        <v>18.08840788315786</v>
      </c>
      <c r="R28" s="386">
        <f t="shared" si="8"/>
        <v>1.2014388032950016</v>
      </c>
      <c r="S28" s="386">
        <f t="shared" si="45"/>
        <v>7.0182969263728703E-2</v>
      </c>
      <c r="T28" s="386">
        <f t="shared" si="46"/>
        <v>1.2716217725587304</v>
      </c>
      <c r="U28" s="4">
        <f t="shared" si="9"/>
        <v>7.3444805849597978</v>
      </c>
      <c r="V28" s="386">
        <f t="shared" si="10"/>
        <v>0.10788279012570283</v>
      </c>
      <c r="W28" s="386">
        <f t="shared" si="47"/>
        <v>0.10788279012570283</v>
      </c>
      <c r="X28" s="386">
        <f t="shared" si="11"/>
        <v>0.58033260808161224</v>
      </c>
      <c r="Y28" s="386">
        <f t="shared" si="12"/>
        <v>6.7357187200561234E-4</v>
      </c>
      <c r="Z28" s="603">
        <f t="shared" si="48"/>
        <v>6.7357187200561234E-4</v>
      </c>
      <c r="AA28" s="386">
        <f t="shared" si="13"/>
        <v>18.08840788315786</v>
      </c>
      <c r="AB28" s="386">
        <f t="shared" si="14"/>
        <v>1.8649858485606783</v>
      </c>
      <c r="AC28" s="386">
        <f t="shared" si="15"/>
        <v>0</v>
      </c>
      <c r="AD28">
        <f t="shared" si="16"/>
        <v>0</v>
      </c>
      <c r="AE28" s="386">
        <f t="shared" si="17"/>
        <v>2.9744456619190087</v>
      </c>
      <c r="AF28" s="386">
        <f t="shared" si="18"/>
        <v>0</v>
      </c>
      <c r="AG28" s="386">
        <f t="shared" si="19"/>
        <v>0</v>
      </c>
      <c r="AH28" s="386">
        <f t="shared" si="20"/>
        <v>0</v>
      </c>
      <c r="AI28" s="386">
        <f t="shared" si="21"/>
        <v>0</v>
      </c>
      <c r="AJ28" s="386">
        <f t="shared" si="22"/>
        <v>9.4346103098403358</v>
      </c>
      <c r="AK28" s="386">
        <f t="shared" si="23"/>
        <v>0.16912255622723657</v>
      </c>
      <c r="AL28" s="386">
        <f t="shared" si="24"/>
        <v>0.17322213097698475</v>
      </c>
      <c r="AM28">
        <f t="shared" si="25"/>
        <v>0</v>
      </c>
      <c r="AN28" s="386">
        <f t="shared" si="26"/>
        <v>0.3543297166910333</v>
      </c>
      <c r="AO28" s="386">
        <f t="shared" si="27"/>
        <v>15.43303690298646</v>
      </c>
      <c r="AP28" s="386">
        <f t="shared" si="28"/>
        <v>0.45253939329298959</v>
      </c>
      <c r="AQ28" s="386">
        <f t="shared" si="29"/>
        <v>0.3615819209039548</v>
      </c>
      <c r="AR28" s="386">
        <f t="shared" si="30"/>
        <v>0.89513839107941229</v>
      </c>
      <c r="AS28" s="386">
        <f t="shared" si="31"/>
        <v>1.8649858485606783</v>
      </c>
      <c r="AT28" s="386">
        <f t="shared" si="32"/>
        <v>0</v>
      </c>
      <c r="AU28" s="386">
        <f t="shared" si="33"/>
        <v>9.8999999999999977E-2</v>
      </c>
      <c r="AV28" s="386">
        <f t="shared" si="34"/>
        <v>0.35604748679418224</v>
      </c>
      <c r="AW28" s="386">
        <f t="shared" si="35"/>
        <v>0.59328000000000003</v>
      </c>
      <c r="AX28" s="386">
        <f t="shared" si="36"/>
        <v>3.6000000000000004E-2</v>
      </c>
      <c r="AY28" s="386">
        <f t="shared" si="37"/>
        <v>0.13200000000000001</v>
      </c>
      <c r="AZ28" s="386">
        <f t="shared" si="38"/>
        <v>4.3499999999999997E-2</v>
      </c>
      <c r="BA28" s="386">
        <f t="shared" si="56"/>
        <v>0.16800000000000001</v>
      </c>
      <c r="BB28" s="386">
        <f t="shared" si="57"/>
        <v>6.8204193910400761</v>
      </c>
      <c r="BC28">
        <f t="shared" si="39"/>
        <v>144</v>
      </c>
      <c r="BD28" s="604">
        <f t="shared" si="50"/>
        <v>0.95477787809781633</v>
      </c>
      <c r="BE28" s="614">
        <f t="shared" si="40"/>
        <v>22.666485834551665</v>
      </c>
      <c r="BF28" s="614">
        <f t="shared" si="41"/>
        <v>44.756919553970612</v>
      </c>
      <c r="BG28" s="9"/>
      <c r="BH28" s="4">
        <f t="shared" si="51"/>
        <v>95.477787809781631</v>
      </c>
      <c r="BI28" s="386">
        <f t="shared" si="52"/>
        <v>1.2716217725587304</v>
      </c>
      <c r="BJ28" s="386">
        <f t="shared" si="53"/>
        <v>4.3229137696894551</v>
      </c>
      <c r="BK28" s="386">
        <f t="shared" si="54"/>
        <v>3.2669999999999991E-2</v>
      </c>
      <c r="BL28" s="386">
        <f t="shared" si="55"/>
        <v>0.35604748679418224</v>
      </c>
      <c r="BP28" t="s">
        <v>156</v>
      </c>
      <c r="BQ28">
        <v>9.9987659999999998</v>
      </c>
      <c r="BR28">
        <v>0.14660000000000001</v>
      </c>
      <c r="BS28">
        <v>5.1213230000000003</v>
      </c>
      <c r="BT28">
        <v>69.885376918691776</v>
      </c>
      <c r="BU28">
        <v>323.52446193379996</v>
      </c>
    </row>
    <row r="29" spans="1:82" x14ac:dyDescent="0.2">
      <c r="A29" s="24" t="s">
        <v>117</v>
      </c>
      <c r="B29" s="15" t="s">
        <v>115</v>
      </c>
      <c r="C29" s="24" t="s">
        <v>80</v>
      </c>
      <c r="D29" s="17" t="s">
        <v>111</v>
      </c>
      <c r="G29">
        <v>20</v>
      </c>
      <c r="H29" s="610">
        <f t="shared" si="0"/>
        <v>9</v>
      </c>
      <c r="I29" s="445" t="str">
        <f t="shared" si="1"/>
        <v>BOOST</v>
      </c>
      <c r="J29">
        <f t="shared" si="43"/>
        <v>2</v>
      </c>
      <c r="K29">
        <f t="shared" si="2"/>
        <v>12</v>
      </c>
      <c r="L29" s="4">
        <f t="shared" si="3"/>
        <v>17.777777777777779</v>
      </c>
      <c r="M29" s="4">
        <f t="shared" si="4"/>
        <v>16.201207243460765</v>
      </c>
      <c r="N29" s="386">
        <f t="shared" si="5"/>
        <v>1</v>
      </c>
      <c r="O29" s="386">
        <f t="shared" si="44"/>
        <v>0.25931445603576753</v>
      </c>
      <c r="P29" s="4">
        <f t="shared" si="6"/>
        <v>1.9499466235427168</v>
      </c>
      <c r="Q29" s="386">
        <f t="shared" si="7"/>
        <v>17.786687166781178</v>
      </c>
      <c r="R29" s="386">
        <f t="shared" si="8"/>
        <v>1.1580101284929476</v>
      </c>
      <c r="S29" s="386">
        <f t="shared" si="45"/>
        <v>6.5420754758374958E-2</v>
      </c>
      <c r="T29" s="386">
        <f t="shared" si="46"/>
        <v>1.2234308832513225</v>
      </c>
      <c r="U29" s="4">
        <f t="shared" si="9"/>
        <v>7.1081234497627932</v>
      </c>
      <c r="V29" s="386">
        <f t="shared" si="10"/>
        <v>0.10105083795413541</v>
      </c>
      <c r="W29" s="386">
        <f t="shared" si="47"/>
        <v>0.10105083795413541</v>
      </c>
      <c r="X29" s="386">
        <f t="shared" si="11"/>
        <v>0.5629011040038947</v>
      </c>
      <c r="Y29" s="386">
        <f t="shared" si="12"/>
        <v>6.3371530577760698E-4</v>
      </c>
      <c r="Z29" s="603">
        <f t="shared" si="48"/>
        <v>6.3371530577760698E-4</v>
      </c>
      <c r="AA29" s="386">
        <f t="shared" si="13"/>
        <v>17.786687166781178</v>
      </c>
      <c r="AB29" s="386">
        <f t="shared" si="14"/>
        <v>1.803287570102948</v>
      </c>
      <c r="AC29" s="386">
        <f t="shared" si="15"/>
        <v>0</v>
      </c>
      <c r="AD29">
        <f t="shared" si="16"/>
        <v>0</v>
      </c>
      <c r="AE29" s="386">
        <f t="shared" si="17"/>
        <v>2.8205345486159694</v>
      </c>
      <c r="AF29" s="386">
        <f t="shared" si="18"/>
        <v>0</v>
      </c>
      <c r="AG29" s="386">
        <f t="shared" si="19"/>
        <v>0</v>
      </c>
      <c r="AH29" s="386">
        <f t="shared" si="20"/>
        <v>0</v>
      </c>
      <c r="AI29" s="386">
        <f t="shared" si="21"/>
        <v>0</v>
      </c>
      <c r="AJ29" s="386">
        <f t="shared" si="22"/>
        <v>9.0575018371155789</v>
      </c>
      <c r="AK29" s="386">
        <f t="shared" si="23"/>
        <v>0.15587284510576896</v>
      </c>
      <c r="AL29" s="386">
        <f t="shared" si="24"/>
        <v>0.17033509546070166</v>
      </c>
      <c r="AM29">
        <f t="shared" si="25"/>
        <v>0</v>
      </c>
      <c r="AN29" s="386">
        <f t="shared" si="26"/>
        <v>0.33670456011552941</v>
      </c>
      <c r="AO29" s="386">
        <f t="shared" si="27"/>
        <v>15.307772562968989</v>
      </c>
      <c r="AP29" s="386">
        <f t="shared" si="28"/>
        <v>0.44522301159521371</v>
      </c>
      <c r="AQ29" s="386">
        <f t="shared" si="29"/>
        <v>0.35555555555555557</v>
      </c>
      <c r="AR29" s="386">
        <f t="shared" si="30"/>
        <v>0.87905354004085379</v>
      </c>
      <c r="AS29" s="386">
        <f t="shared" si="31"/>
        <v>1.803287570102948</v>
      </c>
      <c r="AT29" s="386">
        <f t="shared" si="32"/>
        <v>0</v>
      </c>
      <c r="AU29" s="386">
        <f t="shared" si="33"/>
        <v>9.8999999999999977E-2</v>
      </c>
      <c r="AV29" s="386">
        <f t="shared" si="34"/>
        <v>0.32815335811740837</v>
      </c>
      <c r="AW29" s="386">
        <f t="shared" si="35"/>
        <v>0.59328000000000003</v>
      </c>
      <c r="AX29" s="386">
        <f t="shared" si="36"/>
        <v>3.6000000000000004E-2</v>
      </c>
      <c r="AY29" s="386">
        <f t="shared" si="37"/>
        <v>0.13200000000000001</v>
      </c>
      <c r="AZ29" s="386">
        <f t="shared" si="38"/>
        <v>4.3499999999999997E-2</v>
      </c>
      <c r="BA29" s="386">
        <f t="shared" si="56"/>
        <v>0.16800000000000001</v>
      </c>
      <c r="BB29" s="386">
        <f t="shared" si="57"/>
        <v>6.5498414434009966</v>
      </c>
      <c r="BC29">
        <f t="shared" si="39"/>
        <v>144</v>
      </c>
      <c r="BD29" s="604">
        <f t="shared" si="50"/>
        <v>0.95649386687754567</v>
      </c>
      <c r="BE29" s="614">
        <f t="shared" si="40"/>
        <v>21.785228005776467</v>
      </c>
      <c r="BF29" s="614">
        <f t="shared" si="41"/>
        <v>43.952677002042691</v>
      </c>
      <c r="BG29" s="9"/>
      <c r="BH29" s="4">
        <f t="shared" si="51"/>
        <v>95.649386687754571</v>
      </c>
      <c r="BI29" s="386">
        <f t="shared" si="52"/>
        <v>1.2234308832513225</v>
      </c>
      <c r="BJ29" s="386">
        <f t="shared" si="53"/>
        <v>4.1352926487723529</v>
      </c>
      <c r="BK29" s="386">
        <f t="shared" si="54"/>
        <v>3.2669999999999991E-2</v>
      </c>
      <c r="BL29" s="386">
        <f t="shared" si="55"/>
        <v>0.32815335811740837</v>
      </c>
      <c r="BP29" t="s">
        <v>157</v>
      </c>
      <c r="BQ29">
        <v>9.9987899999999996</v>
      </c>
      <c r="BR29">
        <v>0.1958</v>
      </c>
      <c r="BS29">
        <v>5.1217600000000001</v>
      </c>
      <c r="BT29">
        <v>75.662516566515876</v>
      </c>
      <c r="BU29">
        <v>322.57199766699983</v>
      </c>
    </row>
    <row r="30" spans="1:82" x14ac:dyDescent="0.2">
      <c r="A30" s="22" t="s">
        <v>64</v>
      </c>
      <c r="B30" s="27">
        <f>RdsonDRB</f>
        <v>1.5</v>
      </c>
      <c r="C30" s="486" t="s">
        <v>120</v>
      </c>
      <c r="D30" s="482" t="s">
        <v>716</v>
      </c>
      <c r="G30">
        <v>21</v>
      </c>
      <c r="H30" s="610">
        <f t="shared" si="0"/>
        <v>9.15</v>
      </c>
      <c r="I30" s="445" t="str">
        <f t="shared" si="1"/>
        <v>BOOST</v>
      </c>
      <c r="J30">
        <f t="shared" si="43"/>
        <v>2</v>
      </c>
      <c r="K30">
        <f t="shared" si="2"/>
        <v>12</v>
      </c>
      <c r="L30" s="4">
        <f t="shared" si="3"/>
        <v>17.486338797814206</v>
      </c>
      <c r="M30" s="4">
        <f t="shared" si="4"/>
        <v>15.927531385840656</v>
      </c>
      <c r="N30" s="386">
        <f t="shared" si="5"/>
        <v>1</v>
      </c>
      <c r="O30" s="386">
        <f t="shared" si="44"/>
        <v>0.24658757786735069</v>
      </c>
      <c r="P30" s="4">
        <f t="shared" si="6"/>
        <v>1.8862903264974389</v>
      </c>
      <c r="Q30" s="386">
        <f t="shared" si="7"/>
        <v>17.494815007641421</v>
      </c>
      <c r="R30" s="386">
        <f t="shared" si="8"/>
        <v>1.1169489170572766</v>
      </c>
      <c r="S30" s="386">
        <f t="shared" si="45"/>
        <v>6.06045548948091E-2</v>
      </c>
      <c r="T30" s="386">
        <f t="shared" si="46"/>
        <v>1.1775534719520857</v>
      </c>
      <c r="U30" s="4">
        <f t="shared" si="9"/>
        <v>6.8722210290465302</v>
      </c>
      <c r="V30" s="386">
        <f t="shared" si="10"/>
        <v>9.4454843744138706E-2</v>
      </c>
      <c r="W30" s="386">
        <f t="shared" si="47"/>
        <v>9.4454843744138706E-2</v>
      </c>
      <c r="X30" s="386">
        <f t="shared" si="11"/>
        <v>0.54452511388654179</v>
      </c>
      <c r="Y30" s="386">
        <f t="shared" si="12"/>
        <v>5.930151993063027E-4</v>
      </c>
      <c r="Z30" s="603">
        <f t="shared" si="48"/>
        <v>5.930151993063027E-4</v>
      </c>
      <c r="AA30" s="386">
        <f t="shared" si="13"/>
        <v>17.494815007641421</v>
      </c>
      <c r="AB30" s="386">
        <f t="shared" si="14"/>
        <v>1.7445907472640945</v>
      </c>
      <c r="AC30" s="386">
        <f t="shared" si="15"/>
        <v>0</v>
      </c>
      <c r="AD30">
        <f t="shared" si="16"/>
        <v>0</v>
      </c>
      <c r="AE30" s="386">
        <f t="shared" si="17"/>
        <v>2.6795260009135693</v>
      </c>
      <c r="AF30" s="386">
        <f t="shared" si="18"/>
        <v>0</v>
      </c>
      <c r="AG30" s="386">
        <f t="shared" si="19"/>
        <v>0</v>
      </c>
      <c r="AH30" s="386">
        <f t="shared" si="20"/>
        <v>0</v>
      </c>
      <c r="AI30" s="386">
        <f t="shared" si="21"/>
        <v>0</v>
      </c>
      <c r="AJ30" s="386">
        <f t="shared" si="22"/>
        <v>8.6875026869882941</v>
      </c>
      <c r="AK30" s="386">
        <f t="shared" si="23"/>
        <v>0.14339813557921477</v>
      </c>
      <c r="AL30" s="386">
        <f t="shared" si="24"/>
        <v>0.16754271684659178</v>
      </c>
      <c r="AM30">
        <f t="shared" si="25"/>
        <v>0</v>
      </c>
      <c r="AN30" s="386">
        <f t="shared" si="26"/>
        <v>0.32012182705745679</v>
      </c>
      <c r="AO30" s="386">
        <f t="shared" si="27"/>
        <v>15.185382748392174</v>
      </c>
      <c r="AP30" s="386">
        <f t="shared" si="28"/>
        <v>0.43813211350881665</v>
      </c>
      <c r="AQ30" s="386">
        <f t="shared" si="29"/>
        <v>0.3497267759562841</v>
      </c>
      <c r="AR30" s="386">
        <f t="shared" si="30"/>
        <v>0.86352663982022071</v>
      </c>
      <c r="AS30" s="386">
        <f t="shared" si="31"/>
        <v>1.7445907472640945</v>
      </c>
      <c r="AT30" s="386">
        <f t="shared" si="32"/>
        <v>0</v>
      </c>
      <c r="AU30" s="386">
        <f t="shared" si="33"/>
        <v>9.8999999999999977E-2</v>
      </c>
      <c r="AV30" s="386">
        <f t="shared" si="34"/>
        <v>0.3018908117457153</v>
      </c>
      <c r="AW30" s="386">
        <f t="shared" si="35"/>
        <v>0.59328000000000003</v>
      </c>
      <c r="AX30" s="386">
        <f t="shared" si="36"/>
        <v>3.6000000000000004E-2</v>
      </c>
      <c r="AY30" s="386">
        <f t="shared" si="37"/>
        <v>0.13200000000000001</v>
      </c>
      <c r="AZ30" s="386">
        <f t="shared" si="38"/>
        <v>4.3499999999999997E-2</v>
      </c>
      <c r="BA30" s="386">
        <f t="shared" si="56"/>
        <v>0.16800000000000001</v>
      </c>
      <c r="BB30" s="386">
        <f t="shared" si="57"/>
        <v>6.2979466104324935</v>
      </c>
      <c r="BC30">
        <f t="shared" si="39"/>
        <v>144</v>
      </c>
      <c r="BD30" s="604">
        <f t="shared" si="50"/>
        <v>0.95809692179789674</v>
      </c>
      <c r="BE30" s="614">
        <f t="shared" si="40"/>
        <v>20.956091352872839</v>
      </c>
      <c r="BF30" s="614">
        <f t="shared" si="41"/>
        <v>43.176331991011033</v>
      </c>
      <c r="BG30" s="9"/>
      <c r="BH30" s="4">
        <f t="shared" si="51"/>
        <v>95.809692179789678</v>
      </c>
      <c r="BI30" s="386">
        <f t="shared" si="52"/>
        <v>1.1775534719520857</v>
      </c>
      <c r="BJ30" s="386">
        <f t="shared" si="53"/>
        <v>3.9621744677912467</v>
      </c>
      <c r="BK30" s="386">
        <f t="shared" si="54"/>
        <v>3.2669999999999991E-2</v>
      </c>
      <c r="BL30" s="386">
        <f t="shared" si="55"/>
        <v>0.3018908117457153</v>
      </c>
      <c r="BQ30">
        <v>9.9987659999999998</v>
      </c>
      <c r="BR30">
        <v>0.2681</v>
      </c>
      <c r="BS30">
        <v>5.1224080000000001</v>
      </c>
      <c r="BT30">
        <v>80.957553445887683</v>
      </c>
      <c r="BU30">
        <v>323.02506068319997</v>
      </c>
    </row>
    <row r="31" spans="1:82" x14ac:dyDescent="0.2">
      <c r="A31" s="22" t="s">
        <v>149</v>
      </c>
      <c r="B31" s="27">
        <v>1</v>
      </c>
      <c r="C31" s="486" t="s">
        <v>120</v>
      </c>
      <c r="D31" s="482" t="s">
        <v>715</v>
      </c>
      <c r="G31">
        <v>22</v>
      </c>
      <c r="H31" s="610">
        <f t="shared" si="0"/>
        <v>9.3000000000000007</v>
      </c>
      <c r="I31" s="445" t="str">
        <f t="shared" si="1"/>
        <v>BOOST</v>
      </c>
      <c r="J31">
        <f t="shared" si="43"/>
        <v>2</v>
      </c>
      <c r="K31">
        <f t="shared" si="2"/>
        <v>12</v>
      </c>
      <c r="L31" s="4">
        <f t="shared" si="3"/>
        <v>17.204301075268816</v>
      </c>
      <c r="M31" s="4">
        <f t="shared" si="4"/>
        <v>15.66309845900482</v>
      </c>
      <c r="N31" s="386">
        <f t="shared" si="5"/>
        <v>1</v>
      </c>
      <c r="O31" s="386">
        <f t="shared" si="44"/>
        <v>0.2338680605623647</v>
      </c>
      <c r="P31" s="4">
        <f t="shared" si="6"/>
        <v>1.8193661705245139</v>
      </c>
      <c r="Q31" s="386">
        <f t="shared" si="7"/>
        <v>17.212315840516634</v>
      </c>
      <c r="R31" s="386">
        <f t="shared" si="8"/>
        <v>1.0780821063997137</v>
      </c>
      <c r="S31" s="386">
        <f t="shared" si="45"/>
        <v>5.576467053774109E-2</v>
      </c>
      <c r="T31" s="386">
        <f t="shared" si="46"/>
        <v>1.1338467769374547</v>
      </c>
      <c r="U31" s="4">
        <f t="shared" si="9"/>
        <v>6.636368304176222</v>
      </c>
      <c r="V31" s="386">
        <f t="shared" si="10"/>
        <v>8.8082768537349573E-2</v>
      </c>
      <c r="W31" s="386">
        <f t="shared" si="47"/>
        <v>8.8082768537349573E-2</v>
      </c>
      <c r="X31" s="386">
        <f t="shared" si="11"/>
        <v>0.52520577415341341</v>
      </c>
      <c r="Y31" s="386">
        <f t="shared" si="12"/>
        <v>5.5168221040817261E-4</v>
      </c>
      <c r="Z31" s="603">
        <f t="shared" si="48"/>
        <v>5.5168221040817261E-4</v>
      </c>
      <c r="AA31" s="386">
        <f t="shared" si="13"/>
        <v>17.212315840516634</v>
      </c>
      <c r="AB31" s="386">
        <f t="shared" si="14"/>
        <v>1.6887037545840893</v>
      </c>
      <c r="AC31" s="386">
        <f t="shared" si="15"/>
        <v>0</v>
      </c>
      <c r="AD31">
        <f t="shared" si="16"/>
        <v>0</v>
      </c>
      <c r="AE31" s="386">
        <f t="shared" si="17"/>
        <v>2.5499134318197827</v>
      </c>
      <c r="AF31" s="386">
        <f t="shared" si="18"/>
        <v>0</v>
      </c>
      <c r="AG31" s="386">
        <f t="shared" si="19"/>
        <v>0</v>
      </c>
      <c r="AH31" s="386">
        <f t="shared" si="20"/>
        <v>0</v>
      </c>
      <c r="AI31" s="386">
        <f t="shared" si="21"/>
        <v>0</v>
      </c>
      <c r="AJ31" s="386">
        <f t="shared" si="22"/>
        <v>8.3238599340433819</v>
      </c>
      <c r="AK31" s="386">
        <f t="shared" si="23"/>
        <v>0.13164462398298812</v>
      </c>
      <c r="AL31" s="386">
        <f t="shared" si="24"/>
        <v>0.16484041496196933</v>
      </c>
      <c r="AM31">
        <f t="shared" si="25"/>
        <v>0</v>
      </c>
      <c r="AN31" s="386">
        <f t="shared" si="26"/>
        <v>0.30450225594205005</v>
      </c>
      <c r="AO31" s="386">
        <f t="shared" si="27"/>
        <v>15.065761593498259</v>
      </c>
      <c r="AP31" s="386">
        <f t="shared" si="28"/>
        <v>0.43125662754504168</v>
      </c>
      <c r="AQ31" s="386">
        <f t="shared" si="29"/>
        <v>0.34408602150537632</v>
      </c>
      <c r="AR31" s="386">
        <f t="shared" si="30"/>
        <v>0.84852943779352308</v>
      </c>
      <c r="AS31" s="386">
        <f t="shared" si="31"/>
        <v>1.6887037545840893</v>
      </c>
      <c r="AT31" s="386">
        <f t="shared" si="32"/>
        <v>0</v>
      </c>
      <c r="AU31" s="386">
        <f t="shared" si="33"/>
        <v>9.8999999999999977E-2</v>
      </c>
      <c r="AV31" s="386">
        <f t="shared" si="34"/>
        <v>0.27714657680629079</v>
      </c>
      <c r="AW31" s="386">
        <f t="shared" si="35"/>
        <v>0.59328000000000003</v>
      </c>
      <c r="AX31" s="386">
        <f t="shared" si="36"/>
        <v>3.6000000000000004E-2</v>
      </c>
      <c r="AY31" s="386">
        <f t="shared" si="37"/>
        <v>0.13200000000000001</v>
      </c>
      <c r="AZ31" s="386">
        <f t="shared" si="38"/>
        <v>4.3499999999999997E-2</v>
      </c>
      <c r="BA31" s="386">
        <f t="shared" si="56"/>
        <v>0.16800000000000001</v>
      </c>
      <c r="BB31" s="386">
        <f t="shared" si="57"/>
        <v>6.0628529300468594</v>
      </c>
      <c r="BC31">
        <f t="shared" si="39"/>
        <v>144</v>
      </c>
      <c r="BD31" s="604">
        <f t="shared" si="50"/>
        <v>0.95959790973137693</v>
      </c>
      <c r="BE31" s="614">
        <f t="shared" si="40"/>
        <v>20.1751127971025</v>
      </c>
      <c r="BF31" s="614">
        <f t="shared" si="41"/>
        <v>42.426471889676151</v>
      </c>
      <c r="BG31" s="9"/>
      <c r="BH31" s="4">
        <f t="shared" si="51"/>
        <v>95.9597909731377</v>
      </c>
      <c r="BI31" s="386">
        <f t="shared" si="52"/>
        <v>1.1338467769374547</v>
      </c>
      <c r="BJ31" s="386">
        <f t="shared" si="53"/>
        <v>3.8019451255553562</v>
      </c>
      <c r="BK31" s="386">
        <f t="shared" si="54"/>
        <v>3.2669999999999991E-2</v>
      </c>
      <c r="BL31" s="386">
        <f t="shared" si="55"/>
        <v>0.27714657680629079</v>
      </c>
      <c r="BQ31">
        <v>9.998704</v>
      </c>
      <c r="BR31">
        <v>0.36549999999999999</v>
      </c>
      <c r="BS31">
        <v>5.123094</v>
      </c>
      <c r="BT31">
        <v>85.419022273213088</v>
      </c>
      <c r="BU31">
        <v>319.63300692320018</v>
      </c>
    </row>
    <row r="32" spans="1:82" x14ac:dyDescent="0.2">
      <c r="A32" s="24" t="s">
        <v>66</v>
      </c>
      <c r="B32" s="15" t="s">
        <v>115</v>
      </c>
      <c r="C32" s="24" t="s">
        <v>80</v>
      </c>
      <c r="D32" s="17" t="s">
        <v>111</v>
      </c>
      <c r="G32">
        <v>23</v>
      </c>
      <c r="H32" s="610">
        <f t="shared" si="0"/>
        <v>9.4499999999999993</v>
      </c>
      <c r="I32" s="445" t="str">
        <f t="shared" si="1"/>
        <v>BOOST</v>
      </c>
      <c r="J32">
        <f t="shared" si="43"/>
        <v>2</v>
      </c>
      <c r="K32">
        <f t="shared" si="2"/>
        <v>12</v>
      </c>
      <c r="L32" s="4">
        <f t="shared" si="3"/>
        <v>16.931216931216934</v>
      </c>
      <c r="M32" s="4">
        <f t="shared" si="4"/>
        <v>15.407441145492328</v>
      </c>
      <c r="N32" s="386">
        <f t="shared" si="5"/>
        <v>1</v>
      </c>
      <c r="O32" s="386">
        <f t="shared" si="44"/>
        <v>0.22115555161404757</v>
      </c>
      <c r="P32" s="4">
        <f t="shared" si="6"/>
        <v>1.7491778391646688</v>
      </c>
      <c r="Q32" s="386">
        <f t="shared" si="7"/>
        <v>16.938744798971353</v>
      </c>
      <c r="R32" s="386">
        <f t="shared" si="8"/>
        <v>1.0412525600090745</v>
      </c>
      <c r="S32" s="386">
        <f t="shared" si="45"/>
        <v>5.0932225620571758E-2</v>
      </c>
      <c r="T32" s="386">
        <f t="shared" si="46"/>
        <v>1.0921847856296463</v>
      </c>
      <c r="U32" s="4">
        <f t="shared" si="9"/>
        <v>6.4001322605125841</v>
      </c>
      <c r="V32" s="386">
        <f t="shared" si="10"/>
        <v>8.1923385904107845E-2</v>
      </c>
      <c r="W32" s="386">
        <f t="shared" si="47"/>
        <v>8.1923385904107845E-2</v>
      </c>
      <c r="X32" s="386">
        <f t="shared" si="11"/>
        <v>0.50494414815112476</v>
      </c>
      <c r="Y32" s="386">
        <f t="shared" si="12"/>
        <v>5.0993718550413009E-4</v>
      </c>
      <c r="Z32" s="603">
        <f t="shared" si="48"/>
        <v>5.0993718550413009E-4</v>
      </c>
      <c r="AA32" s="386">
        <f t="shared" si="13"/>
        <v>16.938744798971353</v>
      </c>
      <c r="AB32" s="386">
        <f t="shared" si="14"/>
        <v>1.6354501295786705</v>
      </c>
      <c r="AC32" s="386">
        <f t="shared" si="15"/>
        <v>0</v>
      </c>
      <c r="AD32">
        <f t="shared" si="16"/>
        <v>0</v>
      </c>
      <c r="AE32" s="386">
        <f t="shared" si="17"/>
        <v>2.4304144574529216</v>
      </c>
      <c r="AF32" s="386">
        <f t="shared" si="18"/>
        <v>0</v>
      </c>
      <c r="AG32" s="386">
        <f t="shared" si="19"/>
        <v>0</v>
      </c>
      <c r="AH32" s="386">
        <f t="shared" si="20"/>
        <v>0</v>
      </c>
      <c r="AI32" s="386">
        <f t="shared" si="21"/>
        <v>0</v>
      </c>
      <c r="AJ32" s="386">
        <f t="shared" si="22"/>
        <v>7.9658137495155703</v>
      </c>
      <c r="AK32" s="386">
        <f t="shared" si="23"/>
        <v>0.12056295851474549</v>
      </c>
      <c r="AL32" s="386">
        <f t="shared" si="24"/>
        <v>0.1622239004387635</v>
      </c>
      <c r="AM32">
        <f t="shared" si="25"/>
        <v>0</v>
      </c>
      <c r="AN32" s="386">
        <f t="shared" si="26"/>
        <v>0.28977406261136152</v>
      </c>
      <c r="AO32" s="386">
        <f t="shared" si="27"/>
        <v>14.948808871368573</v>
      </c>
      <c r="AP32" s="386">
        <f t="shared" si="28"/>
        <v>0.42458708467814477</v>
      </c>
      <c r="AQ32" s="386">
        <f t="shared" si="29"/>
        <v>0.33862433862433866</v>
      </c>
      <c r="AR32" s="386">
        <f t="shared" si="30"/>
        <v>0.83403556949656821</v>
      </c>
      <c r="AS32" s="386">
        <f t="shared" si="31"/>
        <v>1.6354501295786705</v>
      </c>
      <c r="AT32" s="386">
        <f t="shared" si="32"/>
        <v>0</v>
      </c>
      <c r="AU32" s="386">
        <f t="shared" si="33"/>
        <v>9.8999999999999977E-2</v>
      </c>
      <c r="AV32" s="386">
        <f t="shared" si="34"/>
        <v>0.25381675476788523</v>
      </c>
      <c r="AW32" s="386">
        <f t="shared" si="35"/>
        <v>0.59328000000000003</v>
      </c>
      <c r="AX32" s="386">
        <f t="shared" si="36"/>
        <v>3.6000000000000004E-2</v>
      </c>
      <c r="AY32" s="386">
        <f t="shared" si="37"/>
        <v>0.13200000000000001</v>
      </c>
      <c r="AZ32" s="386">
        <f t="shared" si="38"/>
        <v>4.3499999999999997E-2</v>
      </c>
      <c r="BA32" s="386">
        <f t="shared" si="56"/>
        <v>0.16800000000000001</v>
      </c>
      <c r="BB32" s="386">
        <f t="shared" si="57"/>
        <v>5.8429389530479945</v>
      </c>
      <c r="BC32">
        <f t="shared" si="39"/>
        <v>144</v>
      </c>
      <c r="BD32" s="604">
        <f t="shared" si="50"/>
        <v>0.96100624431239412</v>
      </c>
      <c r="BE32" s="614">
        <f t="shared" si="40"/>
        <v>19.438703130568076</v>
      </c>
      <c r="BF32" s="614">
        <f t="shared" si="41"/>
        <v>41.701778474828409</v>
      </c>
      <c r="BG32" s="9"/>
      <c r="BH32" s="4">
        <f t="shared" si="51"/>
        <v>96.10062443123941</v>
      </c>
      <c r="BI32" s="386">
        <f t="shared" si="52"/>
        <v>1.0921847856296463</v>
      </c>
      <c r="BJ32" s="386">
        <f t="shared" si="53"/>
        <v>3.653224089560851</v>
      </c>
      <c r="BK32" s="386">
        <f t="shared" si="54"/>
        <v>3.2669999999999991E-2</v>
      </c>
      <c r="BL32" s="386">
        <f t="shared" si="55"/>
        <v>0.25381675476788523</v>
      </c>
      <c r="BQ32">
        <v>9.9987290000000009</v>
      </c>
      <c r="BR32">
        <v>0.49059999999999998</v>
      </c>
      <c r="BS32">
        <v>5.1238169999999998</v>
      </c>
      <c r="BT32">
        <v>88.551850267052174</v>
      </c>
      <c r="BU32">
        <v>324.98153184230057</v>
      </c>
    </row>
    <row r="33" spans="1:73" x14ac:dyDescent="0.2">
      <c r="A33" s="22" t="s">
        <v>66</v>
      </c>
      <c r="B33" s="5">
        <f>Deadtime*1000000000</f>
        <v>50</v>
      </c>
      <c r="C33" s="482" t="s">
        <v>79</v>
      </c>
      <c r="D33" s="21" t="s">
        <v>102</v>
      </c>
      <c r="G33">
        <v>24</v>
      </c>
      <c r="H33" s="610">
        <f t="shared" si="0"/>
        <v>9.6</v>
      </c>
      <c r="I33" s="445" t="str">
        <f t="shared" si="1"/>
        <v>BOOST</v>
      </c>
      <c r="J33">
        <f t="shared" si="43"/>
        <v>2</v>
      </c>
      <c r="K33">
        <f t="shared" si="2"/>
        <v>12</v>
      </c>
      <c r="L33" s="4">
        <f t="shared" si="3"/>
        <v>16.666666666666664</v>
      </c>
      <c r="M33" s="4">
        <f t="shared" si="4"/>
        <v>15.160123511248347</v>
      </c>
      <c r="N33" s="386">
        <f t="shared" si="5"/>
        <v>1</v>
      </c>
      <c r="O33" s="386">
        <f t="shared" si="44"/>
        <v>0.20844972067039111</v>
      </c>
      <c r="P33" s="4">
        <f t="shared" si="6"/>
        <v>1.6757287828360874</v>
      </c>
      <c r="Q33" s="386">
        <f t="shared" si="7"/>
        <v>16.673685356190649</v>
      </c>
      <c r="R33" s="386">
        <f t="shared" si="8"/>
        <v>1.0063173175640154</v>
      </c>
      <c r="S33" s="386">
        <f t="shared" si="45"/>
        <v>4.6139043578044422E-2</v>
      </c>
      <c r="T33" s="386">
        <f t="shared" si="46"/>
        <v>1.0524563611420599</v>
      </c>
      <c r="U33" s="4">
        <f t="shared" si="9"/>
        <v>6.1630435673267012</v>
      </c>
      <c r="V33" s="386">
        <f t="shared" si="10"/>
        <v>7.5966212025534066E-2</v>
      </c>
      <c r="W33" s="386">
        <f t="shared" si="47"/>
        <v>7.5966212025534066E-2</v>
      </c>
      <c r="X33" s="386">
        <f t="shared" si="11"/>
        <v>0.48374123192960955</v>
      </c>
      <c r="Y33" s="386">
        <f t="shared" si="12"/>
        <v>4.6801115893755257E-4</v>
      </c>
      <c r="Z33" s="603">
        <f t="shared" si="48"/>
        <v>4.6801115893755257E-4</v>
      </c>
      <c r="AA33" s="386">
        <f t="shared" si="13"/>
        <v>16.673685356190649</v>
      </c>
      <c r="AB33" s="386">
        <f t="shared" si="14"/>
        <v>1.5846671651363051</v>
      </c>
      <c r="AC33" s="386">
        <f t="shared" si="15"/>
        <v>0</v>
      </c>
      <c r="AD33">
        <f t="shared" si="16"/>
        <v>0</v>
      </c>
      <c r="AE33" s="386">
        <f t="shared" si="17"/>
        <v>2.3199307970222307</v>
      </c>
      <c r="AF33" s="386">
        <f t="shared" si="18"/>
        <v>0</v>
      </c>
      <c r="AG33" s="386">
        <f t="shared" si="19"/>
        <v>0</v>
      </c>
      <c r="AH33" s="386">
        <f t="shared" si="20"/>
        <v>0</v>
      </c>
      <c r="AI33" s="386">
        <f t="shared" si="21"/>
        <v>0</v>
      </c>
      <c r="AJ33" s="386">
        <f t="shared" si="22"/>
        <v>7.61258685230555</v>
      </c>
      <c r="AK33" s="386">
        <f t="shared" si="23"/>
        <v>0.11010780930940112</v>
      </c>
      <c r="AL33" s="386">
        <f t="shared" si="24"/>
        <v>0.15968915199440778</v>
      </c>
      <c r="AM33">
        <f t="shared" si="25"/>
        <v>0</v>
      </c>
      <c r="AN33" s="386">
        <f t="shared" si="26"/>
        <v>0.27587209572580118</v>
      </c>
      <c r="AO33" s="386">
        <f t="shared" si="27"/>
        <v>14.834429708396314</v>
      </c>
      <c r="AP33" s="386">
        <f t="shared" si="28"/>
        <v>0.41811457906936722</v>
      </c>
      <c r="AQ33" s="386">
        <f t="shared" si="29"/>
        <v>0.33333333333333331</v>
      </c>
      <c r="AR33" s="386">
        <f t="shared" si="30"/>
        <v>0.82002041012417215</v>
      </c>
      <c r="AS33" s="386">
        <f t="shared" si="31"/>
        <v>1.5846671651363051</v>
      </c>
      <c r="AT33" s="386">
        <f t="shared" si="32"/>
        <v>0</v>
      </c>
      <c r="AU33" s="386">
        <f t="shared" si="33"/>
        <v>9.8999999999999977E-2</v>
      </c>
      <c r="AV33" s="386">
        <f t="shared" si="34"/>
        <v>0.23180591433558129</v>
      </c>
      <c r="AW33" s="386">
        <f t="shared" si="35"/>
        <v>0.59328000000000003</v>
      </c>
      <c r="AX33" s="386">
        <f t="shared" si="36"/>
        <v>3.6000000000000004E-2</v>
      </c>
      <c r="AY33" s="386">
        <f t="shared" si="37"/>
        <v>0.13200000000000001</v>
      </c>
      <c r="AZ33" s="386">
        <f t="shared" si="38"/>
        <v>4.3499999999999997E-2</v>
      </c>
      <c r="BA33" s="386">
        <f t="shared" si="56"/>
        <v>0.16800000000000001</v>
      </c>
      <c r="BB33" s="386">
        <f t="shared" si="57"/>
        <v>5.636799801534317</v>
      </c>
      <c r="BC33">
        <f t="shared" si="39"/>
        <v>144</v>
      </c>
      <c r="BD33" s="604">
        <f t="shared" si="50"/>
        <v>0.96233012327842815</v>
      </c>
      <c r="BE33" s="614">
        <f t="shared" si="40"/>
        <v>18.743604786290057</v>
      </c>
      <c r="BF33" s="614">
        <f t="shared" si="41"/>
        <v>41.001020506208604</v>
      </c>
      <c r="BG33" s="9"/>
      <c r="BH33" s="4">
        <f t="shared" si="51"/>
        <v>96.233012327842815</v>
      </c>
      <c r="BI33" s="386">
        <f t="shared" si="52"/>
        <v>1.0524563611420599</v>
      </c>
      <c r="BJ33" s="386">
        <f t="shared" si="53"/>
        <v>3.5148233028722045</v>
      </c>
      <c r="BK33" s="386">
        <f t="shared" si="54"/>
        <v>3.2669999999999991E-2</v>
      </c>
      <c r="BL33" s="386">
        <f t="shared" si="55"/>
        <v>0.23180591433558129</v>
      </c>
      <c r="BQ33">
        <v>9.9986420000000003</v>
      </c>
      <c r="BR33">
        <v>0.64549999999999996</v>
      </c>
      <c r="BS33">
        <v>5.1237300000000001</v>
      </c>
      <c r="BT33">
        <v>90.41893857119905</v>
      </c>
      <c r="BU33">
        <v>350.45848473660021</v>
      </c>
    </row>
    <row r="34" spans="1:73" x14ac:dyDescent="0.2">
      <c r="A34" s="24" t="s">
        <v>56</v>
      </c>
      <c r="B34" s="15" t="s">
        <v>115</v>
      </c>
      <c r="C34" s="24" t="s">
        <v>80</v>
      </c>
      <c r="D34" s="17" t="s">
        <v>111</v>
      </c>
      <c r="G34">
        <v>25</v>
      </c>
      <c r="H34" s="610">
        <f t="shared" si="0"/>
        <v>9.75</v>
      </c>
      <c r="I34" s="4" t="str">
        <f t="shared" si="1"/>
        <v>BOOST</v>
      </c>
      <c r="J34">
        <f t="shared" si="43"/>
        <v>2</v>
      </c>
      <c r="K34">
        <f t="shared" si="2"/>
        <v>12</v>
      </c>
      <c r="L34" s="4">
        <f t="shared" si="3"/>
        <v>16.410256410256409</v>
      </c>
      <c r="M34" s="4">
        <f t="shared" si="4"/>
        <v>14.920738385916172</v>
      </c>
      <c r="N34" s="386">
        <f t="shared" si="5"/>
        <v>1</v>
      </c>
      <c r="O34" s="386">
        <f t="shared" si="44"/>
        <v>0.19575025782055697</v>
      </c>
      <c r="P34" s="4">
        <f t="shared" si="6"/>
        <v>1.5990222369878688</v>
      </c>
      <c r="Q34" s="386">
        <f t="shared" si="7"/>
        <v>16.416747184706232</v>
      </c>
      <c r="R34" s="386">
        <f t="shared" si="8"/>
        <v>0.97314606880291032</v>
      </c>
      <c r="S34" s="386">
        <f t="shared" si="45"/>
        <v>4.1417508605691482E-2</v>
      </c>
      <c r="T34" s="386">
        <f t="shared" si="46"/>
        <v>1.0145635774086017</v>
      </c>
      <c r="U34" s="4">
        <f t="shared" si="9"/>
        <v>5.9245861818660064</v>
      </c>
      <c r="V34" s="386">
        <f t="shared" si="10"/>
        <v>7.0201442852715248E-2</v>
      </c>
      <c r="W34" s="386">
        <f t="shared" si="47"/>
        <v>7.0201442852715248E-2</v>
      </c>
      <c r="X34" s="386">
        <f t="shared" si="11"/>
        <v>0.46159795948257182</v>
      </c>
      <c r="Y34" s="386">
        <f t="shared" si="12"/>
        <v>4.26145352396948E-4</v>
      </c>
      <c r="Z34" s="603">
        <f t="shared" si="48"/>
        <v>4.26145352396948E-4</v>
      </c>
      <c r="AA34" s="386">
        <f t="shared" si="13"/>
        <v>16.416747184706232</v>
      </c>
      <c r="AB34" s="386">
        <f t="shared" si="14"/>
        <v>1.5362046523213921</v>
      </c>
      <c r="AC34" s="386">
        <f t="shared" si="15"/>
        <v>0</v>
      </c>
      <c r="AD34">
        <f t="shared" si="16"/>
        <v>0</v>
      </c>
      <c r="AE34" s="386">
        <f t="shared" si="17"/>
        <v>2.2175164784936521</v>
      </c>
      <c r="AF34" s="386">
        <f t="shared" si="18"/>
        <v>0</v>
      </c>
      <c r="AG34" s="386">
        <f t="shared" si="19"/>
        <v>0</v>
      </c>
      <c r="AH34" s="386">
        <f t="shared" si="20"/>
        <v>0</v>
      </c>
      <c r="AI34" s="386">
        <f t="shared" si="21"/>
        <v>0</v>
      </c>
      <c r="AJ34" s="386">
        <f t="shared" si="22"/>
        <v>7.2633719002186741</v>
      </c>
      <c r="AK34" s="386">
        <f t="shared" si="23"/>
        <v>0.10023748558568385</v>
      </c>
      <c r="AL34" s="386">
        <f t="shared" si="24"/>
        <v>0.15723239580987844</v>
      </c>
      <c r="AM34">
        <f t="shared" si="25"/>
        <v>0</v>
      </c>
      <c r="AN34" s="386">
        <f t="shared" si="26"/>
        <v>0.26273710270459755</v>
      </c>
      <c r="AO34" s="386">
        <f t="shared" si="27"/>
        <v>14.722534318712716</v>
      </c>
      <c r="AP34" s="386">
        <f t="shared" si="28"/>
        <v>0.41183073185478003</v>
      </c>
      <c r="AQ34" s="386">
        <f t="shared" si="29"/>
        <v>0.3282051282051282</v>
      </c>
      <c r="AR34" s="386">
        <f t="shared" si="30"/>
        <v>0.80646093987621092</v>
      </c>
      <c r="AS34" s="386">
        <f t="shared" si="31"/>
        <v>1.5362046523213921</v>
      </c>
      <c r="AT34" s="386">
        <f t="shared" si="32"/>
        <v>0</v>
      </c>
      <c r="AU34" s="386">
        <f t="shared" si="33"/>
        <v>9.8999999999999977E-2</v>
      </c>
      <c r="AV34" s="386">
        <f t="shared" si="34"/>
        <v>0.21102628544354493</v>
      </c>
      <c r="AW34" s="386">
        <f t="shared" si="35"/>
        <v>0.59328000000000003</v>
      </c>
      <c r="AX34" s="386">
        <f t="shared" si="36"/>
        <v>3.6000000000000004E-2</v>
      </c>
      <c r="AY34" s="386">
        <f t="shared" si="37"/>
        <v>0.13200000000000001</v>
      </c>
      <c r="AZ34" s="386">
        <f t="shared" si="38"/>
        <v>4.3499999999999997E-2</v>
      </c>
      <c r="BA34" s="386">
        <f t="shared" si="56"/>
        <v>0.16800000000000001</v>
      </c>
      <c r="BB34" s="386">
        <f t="shared" si="57"/>
        <v>5.4432119721317198</v>
      </c>
      <c r="BC34">
        <f t="shared" si="39"/>
        <v>144</v>
      </c>
      <c r="BD34" s="604">
        <f t="shared" si="50"/>
        <v>0.96357671987706772</v>
      </c>
      <c r="BE34" s="614">
        <f t="shared" si="40"/>
        <v>18.086855135229875</v>
      </c>
      <c r="BF34" s="614">
        <f t="shared" si="41"/>
        <v>40.323046993810543</v>
      </c>
      <c r="BG34" s="9"/>
      <c r="BH34" s="4">
        <f t="shared" si="51"/>
        <v>96.357671987706766</v>
      </c>
      <c r="BI34" s="386">
        <f t="shared" si="52"/>
        <v>1.0145635774086017</v>
      </c>
      <c r="BJ34" s="386">
        <f t="shared" si="53"/>
        <v>3.385714521074461</v>
      </c>
      <c r="BK34" s="386">
        <f t="shared" si="54"/>
        <v>3.2669999999999991E-2</v>
      </c>
      <c r="BL34" s="386">
        <f t="shared" si="55"/>
        <v>0.21102628544354493</v>
      </c>
      <c r="BQ34">
        <v>9.9986049999999995</v>
      </c>
      <c r="BR34">
        <v>0.83240000000000003</v>
      </c>
      <c r="BS34">
        <v>5.1231559999999998</v>
      </c>
      <c r="BT34">
        <v>91.678946361105133</v>
      </c>
      <c r="BU34">
        <v>387.05996035199956</v>
      </c>
    </row>
    <row r="35" spans="1:73" x14ac:dyDescent="0.2">
      <c r="A35" s="22" t="s">
        <v>158</v>
      </c>
      <c r="B35" s="5">
        <f>Iq*1000</f>
        <v>3</v>
      </c>
      <c r="C35" s="482" t="s">
        <v>68</v>
      </c>
      <c r="D35" s="21" t="s">
        <v>161</v>
      </c>
      <c r="G35">
        <v>26</v>
      </c>
      <c r="H35" s="610">
        <f t="shared" si="0"/>
        <v>9.9</v>
      </c>
      <c r="I35" s="4" t="str">
        <f t="shared" si="1"/>
        <v>BOOST</v>
      </c>
      <c r="J35">
        <f t="shared" si="43"/>
        <v>2</v>
      </c>
      <c r="K35">
        <f t="shared" si="2"/>
        <v>12</v>
      </c>
      <c r="L35" s="4">
        <f t="shared" si="3"/>
        <v>16.161616161616163</v>
      </c>
      <c r="M35" s="4">
        <f t="shared" si="4"/>
        <v>14.688905003625814</v>
      </c>
      <c r="N35" s="386">
        <f t="shared" si="5"/>
        <v>1</v>
      </c>
      <c r="O35" s="386">
        <f t="shared" si="44"/>
        <v>0.1830568720379146</v>
      </c>
      <c r="P35" s="4">
        <f t="shared" si="6"/>
        <v>1.5190612385832707</v>
      </c>
      <c r="Q35" s="386">
        <f t="shared" si="7"/>
        <v>16.167564211798467</v>
      </c>
      <c r="R35" s="386">
        <f t="shared" si="8"/>
        <v>0.94161981864338828</v>
      </c>
      <c r="S35" s="386">
        <f t="shared" si="45"/>
        <v>3.6800408998106028E-2</v>
      </c>
      <c r="T35" s="386">
        <f t="shared" si="46"/>
        <v>0.97842022764149428</v>
      </c>
      <c r="U35" s="4">
        <f t="shared" si="9"/>
        <v>5.6841840889784683</v>
      </c>
      <c r="V35" s="386">
        <f t="shared" si="10"/>
        <v>6.4619897514791955E-2</v>
      </c>
      <c r="W35" s="386">
        <f t="shared" si="47"/>
        <v>6.4619897514791955E-2</v>
      </c>
      <c r="X35" s="386">
        <f t="shared" si="11"/>
        <v>0.43851520750578887</v>
      </c>
      <c r="Y35" s="386">
        <f t="shared" si="12"/>
        <v>3.8459117442769016E-4</v>
      </c>
      <c r="Z35" s="603">
        <f t="shared" si="48"/>
        <v>3.8459117442769016E-4</v>
      </c>
      <c r="AA35" s="386">
        <f t="shared" si="13"/>
        <v>16.167564211798467</v>
      </c>
      <c r="AB35" s="386">
        <f t="shared" si="14"/>
        <v>1.4899237554929716</v>
      </c>
      <c r="AC35" s="386">
        <f t="shared" si="15"/>
        <v>0</v>
      </c>
      <c r="AD35">
        <f t="shared" si="16"/>
        <v>0</v>
      </c>
      <c r="AE35" s="386">
        <f t="shared" si="17"/>
        <v>2.1223524101856417</v>
      </c>
      <c r="AF35" s="386">
        <f t="shared" si="18"/>
        <v>0</v>
      </c>
      <c r="AG35" s="386">
        <f t="shared" si="19"/>
        <v>0</v>
      </c>
      <c r="AH35" s="386">
        <f t="shared" si="20"/>
        <v>0</v>
      </c>
      <c r="AI35" s="386">
        <f t="shared" si="21"/>
        <v>0</v>
      </c>
      <c r="AJ35" s="386">
        <f t="shared" si="22"/>
        <v>6.917315956700917</v>
      </c>
      <c r="AK35" s="386">
        <f t="shared" si="23"/>
        <v>9.0913594085175339E-2</v>
      </c>
      <c r="AL35" s="386">
        <f t="shared" si="24"/>
        <v>0.15485008678245604</v>
      </c>
      <c r="AM35">
        <f t="shared" si="25"/>
        <v>0</v>
      </c>
      <c r="AN35" s="386">
        <f t="shared" si="26"/>
        <v>0.25031508976040573</v>
      </c>
      <c r="AO35" s="386">
        <f t="shared" si="27"/>
        <v>14.613037757352076</v>
      </c>
      <c r="AP35" s="386">
        <f t="shared" si="28"/>
        <v>0.4057276577458151</v>
      </c>
      <c r="AQ35" s="386">
        <f t="shared" si="29"/>
        <v>0.32323232323232326</v>
      </c>
      <c r="AR35" s="386">
        <f t="shared" si="30"/>
        <v>0.79333562169768257</v>
      </c>
      <c r="AS35" s="386">
        <f t="shared" si="31"/>
        <v>1.4899237554929716</v>
      </c>
      <c r="AT35" s="386">
        <f t="shared" si="32"/>
        <v>0</v>
      </c>
      <c r="AU35" s="386">
        <f t="shared" si="33"/>
        <v>9.8999999999999977E-2</v>
      </c>
      <c r="AV35" s="386">
        <f t="shared" si="34"/>
        <v>0.1913970401793165</v>
      </c>
      <c r="AW35" s="386">
        <f t="shared" si="35"/>
        <v>0.59328000000000003</v>
      </c>
      <c r="AX35" s="386">
        <f t="shared" si="36"/>
        <v>3.6000000000000004E-2</v>
      </c>
      <c r="AY35" s="386">
        <f t="shared" si="37"/>
        <v>0.13200000000000001</v>
      </c>
      <c r="AZ35" s="386">
        <f t="shared" si="38"/>
        <v>4.3499999999999997E-2</v>
      </c>
      <c r="BA35" s="386">
        <f t="shared" si="56"/>
        <v>0.16800000000000001</v>
      </c>
      <c r="BB35" s="386">
        <f t="shared" si="57"/>
        <v>5.2611048781537608</v>
      </c>
      <c r="BC35">
        <f t="shared" si="39"/>
        <v>144</v>
      </c>
      <c r="BD35" s="604">
        <f t="shared" si="50"/>
        <v>0.96475233864543242</v>
      </c>
      <c r="BE35" s="614">
        <f t="shared" si="40"/>
        <v>17.465754488020284</v>
      </c>
      <c r="BF35" s="614">
        <f t="shared" si="41"/>
        <v>39.666781084884128</v>
      </c>
      <c r="BG35" s="9"/>
      <c r="BH35" s="4">
        <f t="shared" si="51"/>
        <v>96.475233864543242</v>
      </c>
      <c r="BI35" s="386">
        <f t="shared" si="52"/>
        <v>0.97842022764149428</v>
      </c>
      <c r="BJ35" s="386">
        <f t="shared" si="53"/>
        <v>3.2650031216437299</v>
      </c>
      <c r="BK35" s="386">
        <f t="shared" si="54"/>
        <v>3.2669999999999991E-2</v>
      </c>
      <c r="BL35" s="386">
        <f t="shared" si="55"/>
        <v>0.1913970401793165</v>
      </c>
      <c r="BQ35">
        <v>9.9986049999999995</v>
      </c>
      <c r="BR35">
        <v>1.0528999999999999</v>
      </c>
      <c r="BS35">
        <v>5.1218219999999999</v>
      </c>
      <c r="BT35">
        <v>92.889938966292178</v>
      </c>
      <c r="BU35">
        <v>412.77762981700039</v>
      </c>
    </row>
    <row r="36" spans="1:73" x14ac:dyDescent="0.2">
      <c r="A36" s="24" t="s">
        <v>766</v>
      </c>
      <c r="B36" s="15" t="s">
        <v>115</v>
      </c>
      <c r="C36" s="24" t="s">
        <v>80</v>
      </c>
      <c r="D36" s="17" t="s">
        <v>111</v>
      </c>
      <c r="G36">
        <v>27</v>
      </c>
      <c r="H36" s="610">
        <f t="shared" si="0"/>
        <v>10.050000000000001</v>
      </c>
      <c r="I36" s="4" t="str">
        <f t="shared" si="1"/>
        <v>BOOST</v>
      </c>
      <c r="J36">
        <f t="shared" si="43"/>
        <v>2</v>
      </c>
      <c r="K36">
        <f t="shared" si="2"/>
        <v>12</v>
      </c>
      <c r="L36" s="4">
        <f t="shared" si="3"/>
        <v>15.920398009950246</v>
      </c>
      <c r="M36" s="4">
        <f t="shared" si="4"/>
        <v>14.464266874324901</v>
      </c>
      <c r="N36" s="386">
        <f t="shared" si="5"/>
        <v>1</v>
      </c>
      <c r="O36" s="386">
        <f t="shared" si="44"/>
        <v>0.17036928976325438</v>
      </c>
      <c r="P36" s="4">
        <f t="shared" si="6"/>
        <v>1.4358486410893181</v>
      </c>
      <c r="Q36" s="386">
        <f t="shared" si="7"/>
        <v>15.925792850129552</v>
      </c>
      <c r="R36" s="386">
        <f t="shared" si="8"/>
        <v>0.91162971631589851</v>
      </c>
      <c r="S36" s="386">
        <f t="shared" si="45"/>
        <v>3.2320759043544083E-2</v>
      </c>
      <c r="T36" s="386">
        <f t="shared" si="46"/>
        <v>0.94395047535944254</v>
      </c>
      <c r="U36" s="4">
        <f t="shared" si="9"/>
        <v>5.4411840281950781</v>
      </c>
      <c r="V36" s="386">
        <f t="shared" si="10"/>
        <v>5.9212967257370429E-2</v>
      </c>
      <c r="W36" s="386">
        <f t="shared" si="47"/>
        <v>5.9212967257370429E-2</v>
      </c>
      <c r="X36" s="386">
        <f t="shared" si="11"/>
        <v>0.41449379972423811</v>
      </c>
      <c r="Y36" s="386">
        <f t="shared" si="12"/>
        <v>3.4361022001967365E-4</v>
      </c>
      <c r="Z36" s="603">
        <f t="shared" si="48"/>
        <v>3.4361022001967365E-4</v>
      </c>
      <c r="AA36" s="386">
        <f t="shared" si="13"/>
        <v>15.925792850129552</v>
      </c>
      <c r="AB36" s="386">
        <f t="shared" si="14"/>
        <v>1.4456960040598541</v>
      </c>
      <c r="AC36" s="386">
        <f t="shared" si="15"/>
        <v>0</v>
      </c>
      <c r="AD36">
        <f t="shared" si="16"/>
        <v>0</v>
      </c>
      <c r="AE36" s="386">
        <f t="shared" si="17"/>
        <v>2.0337258795409459</v>
      </c>
      <c r="AF36" s="386">
        <f t="shared" si="18"/>
        <v>0</v>
      </c>
      <c r="AG36" s="386">
        <f t="shared" si="19"/>
        <v>0</v>
      </c>
      <c r="AH36" s="386">
        <f t="shared" si="20"/>
        <v>0</v>
      </c>
      <c r="AI36" s="386">
        <f t="shared" si="21"/>
        <v>0</v>
      </c>
      <c r="AJ36" s="386">
        <f t="shared" si="22"/>
        <v>6.5735007819841327</v>
      </c>
      <c r="AK36" s="386">
        <f t="shared" si="23"/>
        <v>8.2100733808417398E-2</v>
      </c>
      <c r="AL36" s="386">
        <f t="shared" si="24"/>
        <v>0.15253889145734473</v>
      </c>
      <c r="AM36">
        <f t="shared" si="25"/>
        <v>0</v>
      </c>
      <c r="AN36" s="386">
        <f t="shared" si="26"/>
        <v>0.23855676231394921</v>
      </c>
      <c r="AO36" s="386">
        <f t="shared" si="27"/>
        <v>14.505859690983211</v>
      </c>
      <c r="AP36" s="386">
        <f t="shared" si="28"/>
        <v>0.39979793421153392</v>
      </c>
      <c r="AQ36" s="386">
        <f t="shared" si="29"/>
        <v>0.31840796019900491</v>
      </c>
      <c r="AR36" s="386">
        <f t="shared" si="30"/>
        <v>0.78062429012826384</v>
      </c>
      <c r="AS36" s="386">
        <f t="shared" si="31"/>
        <v>1.4456960040598541</v>
      </c>
      <c r="AT36" s="386">
        <f t="shared" si="32"/>
        <v>0</v>
      </c>
      <c r="AU36" s="386">
        <f t="shared" si="33"/>
        <v>9.8999999999999977E-2</v>
      </c>
      <c r="AV36" s="386">
        <f t="shared" si="34"/>
        <v>0.172843650122984</v>
      </c>
      <c r="AW36" s="386">
        <f t="shared" si="35"/>
        <v>0.59328000000000003</v>
      </c>
      <c r="AX36" s="386">
        <f t="shared" si="36"/>
        <v>3.6000000000000004E-2</v>
      </c>
      <c r="AY36" s="386">
        <f t="shared" si="37"/>
        <v>0.13200000000000001</v>
      </c>
      <c r="AZ36" s="386">
        <f t="shared" si="38"/>
        <v>4.3499999999999997E-2</v>
      </c>
      <c r="BA36" s="386">
        <f t="shared" si="56"/>
        <v>0.16800000000000001</v>
      </c>
      <c r="BB36" s="386">
        <f t="shared" si="57"/>
        <v>5.0895376349429764</v>
      </c>
      <c r="BC36">
        <f t="shared" si="39"/>
        <v>144</v>
      </c>
      <c r="BD36" s="604">
        <f t="shared" si="50"/>
        <v>0.96586254330330612</v>
      </c>
      <c r="BE36" s="614">
        <f t="shared" si="40"/>
        <v>16.877838115697458</v>
      </c>
      <c r="BF36" s="614">
        <f t="shared" si="41"/>
        <v>39.031214506413193</v>
      </c>
      <c r="BG36" s="9"/>
      <c r="BH36" s="4">
        <f t="shared" si="51"/>
        <v>96.586254330330618</v>
      </c>
      <c r="BI36" s="386">
        <f t="shared" si="52"/>
        <v>0.94395047535944254</v>
      </c>
      <c r="BJ36" s="386">
        <f t="shared" si="53"/>
        <v>3.1519069319831594</v>
      </c>
      <c r="BK36" s="386">
        <f t="shared" si="54"/>
        <v>3.2669999999999991E-2</v>
      </c>
      <c r="BL36" s="386">
        <f t="shared" si="55"/>
        <v>0.172843650122984</v>
      </c>
      <c r="BQ36">
        <v>9.9986669999999993</v>
      </c>
      <c r="BR36">
        <v>1.3092999999999999</v>
      </c>
      <c r="BS36">
        <v>5.1195649999999997</v>
      </c>
      <c r="BT36">
        <v>93.690364214923264</v>
      </c>
      <c r="BU36">
        <v>451.42072788069993</v>
      </c>
    </row>
    <row r="37" spans="1:73" x14ac:dyDescent="0.2">
      <c r="A37" s="23" t="s">
        <v>75</v>
      </c>
      <c r="B37" s="5">
        <f>Rdson1*1000</f>
        <v>5.7</v>
      </c>
      <c r="C37" s="484" t="s">
        <v>674</v>
      </c>
      <c r="D37" s="482" t="s">
        <v>769</v>
      </c>
      <c r="G37">
        <v>28</v>
      </c>
      <c r="H37" s="610">
        <f t="shared" si="0"/>
        <v>10.199999999999999</v>
      </c>
      <c r="I37" s="4" t="str">
        <f t="shared" si="1"/>
        <v>BOOST</v>
      </c>
      <c r="J37">
        <f t="shared" si="43"/>
        <v>2</v>
      </c>
      <c r="K37">
        <f t="shared" si="2"/>
        <v>12</v>
      </c>
      <c r="L37" s="4">
        <f t="shared" si="3"/>
        <v>15.686274509803923</v>
      </c>
      <c r="M37" s="4">
        <f t="shared" si="4"/>
        <v>14.246489859594384</v>
      </c>
      <c r="N37" s="386">
        <f t="shared" si="5"/>
        <v>1</v>
      </c>
      <c r="O37" s="386">
        <f t="shared" si="44"/>
        <v>0.15768725361366626</v>
      </c>
      <c r="P37" s="4">
        <f t="shared" si="6"/>
        <v>1.3493871281282945</v>
      </c>
      <c r="Q37" s="386">
        <f t="shared" si="7"/>
        <v>15.691110385567178</v>
      </c>
      <c r="R37" s="386">
        <f t="shared" si="8"/>
        <v>0.88307602560636578</v>
      </c>
      <c r="S37" s="386">
        <f t="shared" si="45"/>
        <v>2.8011594884190003E-2</v>
      </c>
      <c r="T37" s="386">
        <f t="shared" si="46"/>
        <v>0.91108762049055581</v>
      </c>
      <c r="U37" s="4">
        <f t="shared" si="9"/>
        <v>5.1948324942275121</v>
      </c>
      <c r="V37" s="386">
        <f t="shared" si="10"/>
        <v>5.397256928616407E-2</v>
      </c>
      <c r="W37" s="386">
        <f t="shared" si="47"/>
        <v>5.397256928616407E-2</v>
      </c>
      <c r="X37" s="386">
        <f t="shared" si="11"/>
        <v>0.38953451083294344</v>
      </c>
      <c r="Y37" s="386">
        <f t="shared" si="12"/>
        <v>3.034742702597211E-4</v>
      </c>
      <c r="Z37" s="603">
        <f t="shared" si="48"/>
        <v>3.034742702597211E-4</v>
      </c>
      <c r="AA37" s="386">
        <f t="shared" si="13"/>
        <v>15.691110385567178</v>
      </c>
      <c r="AB37" s="386">
        <f t="shared" si="14"/>
        <v>1.4034023872527086</v>
      </c>
      <c r="AC37" s="386">
        <f t="shared" si="15"/>
        <v>0</v>
      </c>
      <c r="AD37">
        <f t="shared" si="16"/>
        <v>0</v>
      </c>
      <c r="AE37" s="386">
        <f t="shared" si="17"/>
        <v>1.9510139003021634</v>
      </c>
      <c r="AF37" s="386">
        <f t="shared" si="18"/>
        <v>0</v>
      </c>
      <c r="AG37" s="386">
        <f t="shared" si="19"/>
        <v>0</v>
      </c>
      <c r="AH37" s="386">
        <f t="shared" si="20"/>
        <v>0</v>
      </c>
      <c r="AI37" s="386">
        <f t="shared" si="21"/>
        <v>0</v>
      </c>
      <c r="AJ37" s="386">
        <f t="shared" si="22"/>
        <v>6.2309170871950048</v>
      </c>
      <c r="AK37" s="386">
        <f t="shared" si="23"/>
        <v>7.3766222720247507E-2</v>
      </c>
      <c r="AL37" s="386">
        <f t="shared" si="24"/>
        <v>0.15029567246532502</v>
      </c>
      <c r="AM37">
        <f t="shared" si="25"/>
        <v>0</v>
      </c>
      <c r="AN37" s="386">
        <f t="shared" si="26"/>
        <v>0.22741703430617399</v>
      </c>
      <c r="AO37" s="386">
        <f t="shared" si="27"/>
        <v>14.400924185084632</v>
      </c>
      <c r="AP37" s="386">
        <f t="shared" si="28"/>
        <v>0.39403457303065542</v>
      </c>
      <c r="AQ37" s="386">
        <f t="shared" si="29"/>
        <v>0.31372549019607848</v>
      </c>
      <c r="AR37" s="386">
        <f t="shared" si="30"/>
        <v>0.76830805012406411</v>
      </c>
      <c r="AS37" s="386">
        <f t="shared" si="31"/>
        <v>1.4034023872527086</v>
      </c>
      <c r="AT37" s="386">
        <f t="shared" si="32"/>
        <v>0</v>
      </c>
      <c r="AU37" s="386">
        <f t="shared" si="33"/>
        <v>9.8999999999999977E-2</v>
      </c>
      <c r="AV37" s="386">
        <f t="shared" si="34"/>
        <v>0.15529731098999475</v>
      </c>
      <c r="AW37" s="386">
        <f t="shared" si="35"/>
        <v>0.59328000000000003</v>
      </c>
      <c r="AX37" s="386">
        <f t="shared" si="36"/>
        <v>3.6000000000000004E-2</v>
      </c>
      <c r="AY37" s="386">
        <f t="shared" si="37"/>
        <v>0.13200000000000001</v>
      </c>
      <c r="AZ37" s="386">
        <f t="shared" si="38"/>
        <v>4.3499999999999997E-2</v>
      </c>
      <c r="BA37" s="386">
        <f t="shared" si="56"/>
        <v>0.16800000000000001</v>
      </c>
      <c r="BB37" s="386">
        <f t="shared" si="57"/>
        <v>4.9276799597693763</v>
      </c>
      <c r="BC37">
        <f t="shared" si="39"/>
        <v>144</v>
      </c>
      <c r="BD37" s="604">
        <f t="shared" si="50"/>
        <v>0.96691226264250874</v>
      </c>
      <c r="BE37" s="614">
        <f t="shared" si="40"/>
        <v>16.320851715308699</v>
      </c>
      <c r="BF37" s="614">
        <f t="shared" si="41"/>
        <v>38.415402506203208</v>
      </c>
      <c r="BG37" s="9"/>
      <c r="BH37" s="4">
        <f t="shared" si="51"/>
        <v>96.691226264250872</v>
      </c>
      <c r="BI37" s="386">
        <f t="shared" si="52"/>
        <v>0.91108762049055581</v>
      </c>
      <c r="BJ37" s="386">
        <f t="shared" si="53"/>
        <v>3.0457389847324015</v>
      </c>
      <c r="BK37" s="386">
        <f t="shared" si="54"/>
        <v>3.2669999999999991E-2</v>
      </c>
      <c r="BL37" s="386">
        <f t="shared" si="55"/>
        <v>0.15529731098999475</v>
      </c>
      <c r="BQ37">
        <v>9.9985429999999997</v>
      </c>
      <c r="BR37">
        <v>1.6020000000000001</v>
      </c>
      <c r="BS37">
        <v>5.1182809999999996</v>
      </c>
      <c r="BT37">
        <v>93.864473327748414</v>
      </c>
      <c r="BU37">
        <v>535.96589716749952</v>
      </c>
    </row>
    <row r="38" spans="1:73" x14ac:dyDescent="0.2">
      <c r="A38" s="22" t="s">
        <v>83</v>
      </c>
      <c r="B38" s="5">
        <f>RdsonTopTc*1000000</f>
        <v>4000</v>
      </c>
      <c r="C38" s="482" t="s">
        <v>85</v>
      </c>
      <c r="D38" s="21" t="s">
        <v>113</v>
      </c>
      <c r="G38">
        <v>29</v>
      </c>
      <c r="H38" s="610">
        <f t="shared" si="0"/>
        <v>10.35</v>
      </c>
      <c r="I38" s="4" t="str">
        <f t="shared" si="1"/>
        <v>BOOST</v>
      </c>
      <c r="J38">
        <f t="shared" si="43"/>
        <v>2</v>
      </c>
      <c r="K38">
        <f t="shared" si="2"/>
        <v>12</v>
      </c>
      <c r="L38" s="4">
        <f t="shared" si="3"/>
        <v>15.458937198067634</v>
      </c>
      <c r="M38" s="4">
        <f t="shared" si="4"/>
        <v>14.03526043022458</v>
      </c>
      <c r="N38" s="386">
        <f t="shared" si="5"/>
        <v>1</v>
      </c>
      <c r="O38" s="386">
        <f t="shared" si="44"/>
        <v>0.14501052120427332</v>
      </c>
      <c r="P38" s="4">
        <f t="shared" si="6"/>
        <v>1.2596792259284566</v>
      </c>
      <c r="Q38" s="386">
        <f t="shared" si="7"/>
        <v>15.463213506248268</v>
      </c>
      <c r="R38" s="386">
        <f t="shared" si="8"/>
        <v>0.85586721687543466</v>
      </c>
      <c r="S38" s="386">
        <f t="shared" si="45"/>
        <v>2.3905738245427542E-2</v>
      </c>
      <c r="T38" s="386">
        <f t="shared" si="46"/>
        <v>0.87977295512086218</v>
      </c>
      <c r="U38" s="4">
        <f t="shared" si="9"/>
        <v>4.9442443796159523</v>
      </c>
      <c r="V38" s="386">
        <f t="shared" si="10"/>
        <v>4.8891104970727871E-2</v>
      </c>
      <c r="W38" s="386">
        <f t="shared" si="47"/>
        <v>4.8891104970727871E-2</v>
      </c>
      <c r="X38" s="386">
        <f t="shared" si="11"/>
        <v>0.36363807009118693</v>
      </c>
      <c r="Y38" s="386">
        <f t="shared" si="12"/>
        <v>2.6446529203928595E-4</v>
      </c>
      <c r="Z38" s="603">
        <f t="shared" si="48"/>
        <v>2.6446529203928595E-4</v>
      </c>
      <c r="AA38" s="386">
        <f t="shared" si="13"/>
        <v>15.463213506248268</v>
      </c>
      <c r="AB38" s="386">
        <f t="shared" si="14"/>
        <v>1.3629325400569674</v>
      </c>
      <c r="AC38" s="386">
        <f t="shared" si="15"/>
        <v>0</v>
      </c>
      <c r="AD38">
        <f t="shared" si="16"/>
        <v>0</v>
      </c>
      <c r="AE38" s="386">
        <f t="shared" si="17"/>
        <v>1.8736695910478312</v>
      </c>
      <c r="AF38" s="386">
        <f t="shared" si="18"/>
        <v>0</v>
      </c>
      <c r="AG38" s="386">
        <f t="shared" si="19"/>
        <v>0</v>
      </c>
      <c r="AH38" s="386">
        <f t="shared" si="20"/>
        <v>0</v>
      </c>
      <c r="AI38" s="386">
        <f t="shared" si="21"/>
        <v>0</v>
      </c>
      <c r="AJ38" s="386">
        <f t="shared" si="22"/>
        <v>5.8884298982541612</v>
      </c>
      <c r="AK38" s="386">
        <f t="shared" si="23"/>
        <v>6.5879852666641675E-2</v>
      </c>
      <c r="AL38" s="386">
        <f t="shared" si="24"/>
        <v>0.14811747431365363</v>
      </c>
      <c r="AM38">
        <f t="shared" si="25"/>
        <v>0</v>
      </c>
      <c r="AN38" s="386">
        <f t="shared" si="26"/>
        <v>0.21685459675718477</v>
      </c>
      <c r="AO38" s="386">
        <f t="shared" si="27"/>
        <v>14.29815950649472</v>
      </c>
      <c r="AP38" s="386">
        <f t="shared" si="28"/>
        <v>0.38843099401901415</v>
      </c>
      <c r="AQ38" s="386">
        <f t="shared" si="29"/>
        <v>0.3091787439613527</v>
      </c>
      <c r="AR38" s="386">
        <f t="shared" si="30"/>
        <v>0.75636918484316318</v>
      </c>
      <c r="AS38" s="386">
        <f t="shared" si="31"/>
        <v>1.3629325400569674</v>
      </c>
      <c r="AT38" s="386">
        <f t="shared" si="32"/>
        <v>0</v>
      </c>
      <c r="AU38" s="386">
        <f t="shared" si="33"/>
        <v>9.8999999999999977E-2</v>
      </c>
      <c r="AV38" s="386">
        <f t="shared" si="34"/>
        <v>0.13869442666661405</v>
      </c>
      <c r="AW38" s="386">
        <f t="shared" si="35"/>
        <v>0.59328000000000003</v>
      </c>
      <c r="AX38" s="386">
        <f t="shared" si="36"/>
        <v>3.6000000000000004E-2</v>
      </c>
      <c r="AY38" s="386">
        <f t="shared" si="37"/>
        <v>0.13200000000000001</v>
      </c>
      <c r="AZ38" s="386">
        <f t="shared" si="38"/>
        <v>4.3499999999999997E-2</v>
      </c>
      <c r="BA38" s="386">
        <f t="shared" si="56"/>
        <v>0.16800000000000001</v>
      </c>
      <c r="BB38" s="386">
        <f t="shared" si="57"/>
        <v>4.7747963246984231</v>
      </c>
      <c r="BC38">
        <f t="shared" si="39"/>
        <v>144</v>
      </c>
      <c r="BD38" s="604">
        <f t="shared" si="50"/>
        <v>0.96790587893477931</v>
      </c>
      <c r="BE38" s="614">
        <f t="shared" si="40"/>
        <v>15.792729837859238</v>
      </c>
      <c r="BF38" s="614">
        <f t="shared" si="41"/>
        <v>37.818459242158156</v>
      </c>
      <c r="BG38" s="9"/>
      <c r="BH38" s="4">
        <f t="shared" si="51"/>
        <v>96.790587893477934</v>
      </c>
      <c r="BI38" s="386">
        <f t="shared" si="52"/>
        <v>0.87977295512086218</v>
      </c>
      <c r="BJ38" s="386">
        <f t="shared" si="53"/>
        <v>2.9458933726481789</v>
      </c>
      <c r="BK38" s="386">
        <f t="shared" si="54"/>
        <v>3.2669999999999991E-2</v>
      </c>
      <c r="BL38" s="386">
        <f t="shared" si="55"/>
        <v>0.13869442666661405</v>
      </c>
      <c r="BQ38">
        <v>9.9985429999999997</v>
      </c>
      <c r="BR38">
        <v>1.9350000000000001</v>
      </c>
      <c r="BS38">
        <v>5.117146</v>
      </c>
      <c r="BT38">
        <v>94.224527198076927</v>
      </c>
      <c r="BU38">
        <v>606.92116405899924</v>
      </c>
    </row>
    <row r="39" spans="1:73" x14ac:dyDescent="0.2">
      <c r="A39" s="23" t="s">
        <v>74</v>
      </c>
      <c r="B39" s="5">
        <f>Qg_Q1*1000000000</f>
        <v>11</v>
      </c>
      <c r="C39" s="482" t="s">
        <v>69</v>
      </c>
      <c r="D39" s="21" t="s">
        <v>103</v>
      </c>
      <c r="G39">
        <v>30</v>
      </c>
      <c r="H39" s="610">
        <f t="shared" si="0"/>
        <v>10.5</v>
      </c>
      <c r="I39" s="4" t="str">
        <f t="shared" si="1"/>
        <v>BOOST</v>
      </c>
      <c r="J39">
        <f t="shared" si="43"/>
        <v>2</v>
      </c>
      <c r="K39">
        <f t="shared" si="2"/>
        <v>12</v>
      </c>
      <c r="L39" s="4">
        <f t="shared" si="3"/>
        <v>15.238095238095237</v>
      </c>
      <c r="M39" s="4">
        <f t="shared" si="4"/>
        <v>13.830284085685392</v>
      </c>
      <c r="N39" s="386">
        <f t="shared" si="5"/>
        <v>1</v>
      </c>
      <c r="O39" s="386">
        <f t="shared" si="44"/>
        <v>0.13233886407147416</v>
      </c>
      <c r="P39" s="4">
        <f t="shared" si="6"/>
        <v>1.1667273146953794</v>
      </c>
      <c r="Q39" s="386">
        <f t="shared" si="7"/>
        <v>15.241816958754145</v>
      </c>
      <c r="R39" s="386">
        <f t="shared" si="8"/>
        <v>0.82991916448061076</v>
      </c>
      <c r="S39" s="386">
        <f t="shared" si="45"/>
        <v>2.0035519759983727E-2</v>
      </c>
      <c r="T39" s="386">
        <f t="shared" si="46"/>
        <v>0.8499546842405945</v>
      </c>
      <c r="U39" s="4">
        <f t="shared" si="9"/>
        <v>4.6883590909677917</v>
      </c>
      <c r="V39" s="386">
        <f t="shared" si="10"/>
        <v>4.396142193172068E-2</v>
      </c>
      <c r="W39" s="386">
        <f t="shared" si="47"/>
        <v>4.396142193172068E-2</v>
      </c>
      <c r="X39" s="386">
        <f t="shared" si="11"/>
        <v>0.33680516460513327</v>
      </c>
      <c r="Y39" s="386">
        <f t="shared" si="12"/>
        <v>2.2687543780938182E-4</v>
      </c>
      <c r="Z39" s="603">
        <f t="shared" si="48"/>
        <v>2.2687543780938182E-4</v>
      </c>
      <c r="AA39" s="386">
        <f t="shared" si="13"/>
        <v>15.241816958754145</v>
      </c>
      <c r="AB39" s="386">
        <f t="shared" si="14"/>
        <v>1.3241840099637432</v>
      </c>
      <c r="AC39" s="386">
        <f t="shared" si="15"/>
        <v>0</v>
      </c>
      <c r="AD39">
        <f t="shared" si="16"/>
        <v>0</v>
      </c>
      <c r="AE39" s="386">
        <f t="shared" si="17"/>
        <v>1.8012109604413062</v>
      </c>
      <c r="AF39" s="386">
        <f t="shared" si="18"/>
        <v>0</v>
      </c>
      <c r="AG39" s="386">
        <f t="shared" si="19"/>
        <v>0</v>
      </c>
      <c r="AH39" s="386">
        <f t="shared" si="20"/>
        <v>0</v>
      </c>
      <c r="AI39" s="386">
        <f t="shared" si="21"/>
        <v>0</v>
      </c>
      <c r="AJ39" s="386">
        <f t="shared" si="22"/>
        <v>5.5447305109115597</v>
      </c>
      <c r="AK39" s="386">
        <f t="shared" si="23"/>
        <v>5.841366923340377E-2</v>
      </c>
      <c r="AL39" s="386">
        <f t="shared" si="24"/>
        <v>0.14600151039488712</v>
      </c>
      <c r="AM39">
        <f t="shared" si="25"/>
        <v>0</v>
      </c>
      <c r="AN39" s="386">
        <f t="shared" si="26"/>
        <v>0.20683153743119939</v>
      </c>
      <c r="AO39" s="386">
        <f t="shared" si="27"/>
        <v>14.197497940324974</v>
      </c>
      <c r="AP39" s="386">
        <f t="shared" si="28"/>
        <v>0.38298100075451058</v>
      </c>
      <c r="AQ39" s="386">
        <f t="shared" si="29"/>
        <v>0.30476190476190473</v>
      </c>
      <c r="AR39" s="386">
        <f t="shared" si="30"/>
        <v>0.74479107149960377</v>
      </c>
      <c r="AS39" s="386">
        <f t="shared" si="31"/>
        <v>1.3241840099637432</v>
      </c>
      <c r="AT39" s="386">
        <f t="shared" si="32"/>
        <v>0</v>
      </c>
      <c r="AU39" s="386">
        <f t="shared" si="33"/>
        <v>9.8999999999999977E-2</v>
      </c>
      <c r="AV39" s="386">
        <f t="shared" si="34"/>
        <v>0.12297614575453426</v>
      </c>
      <c r="AW39" s="386">
        <f t="shared" si="35"/>
        <v>0.59328000000000003</v>
      </c>
      <c r="AX39" s="386">
        <f t="shared" si="36"/>
        <v>3.6000000000000004E-2</v>
      </c>
      <c r="AY39" s="386">
        <f t="shared" si="37"/>
        <v>0.13200000000000001</v>
      </c>
      <c r="AZ39" s="386">
        <f t="shared" si="38"/>
        <v>4.3499999999999997E-2</v>
      </c>
      <c r="BA39" s="386">
        <f t="shared" si="56"/>
        <v>0.16800000000000001</v>
      </c>
      <c r="BB39" s="386">
        <f t="shared" si="57"/>
        <v>4.6302326967367682</v>
      </c>
      <c r="BC39">
        <f t="shared" si="39"/>
        <v>144</v>
      </c>
      <c r="BD39" s="604">
        <f t="shared" si="50"/>
        <v>0.96884730237767824</v>
      </c>
      <c r="BE39" s="614">
        <f t="shared" si="40"/>
        <v>15.29157687155997</v>
      </c>
      <c r="BF39" s="614">
        <f t="shared" si="41"/>
        <v>37.239553574980192</v>
      </c>
      <c r="BG39" s="9"/>
      <c r="BH39" s="4">
        <f t="shared" si="51"/>
        <v>96.884730237767826</v>
      </c>
      <c r="BI39" s="386">
        <f t="shared" si="52"/>
        <v>0.8499546842405945</v>
      </c>
      <c r="BJ39" s="386">
        <f t="shared" si="53"/>
        <v>2.8518335693721095</v>
      </c>
      <c r="BK39" s="386">
        <f t="shared" si="54"/>
        <v>3.2669999999999991E-2</v>
      </c>
      <c r="BL39" s="386">
        <f t="shared" si="55"/>
        <v>0.12297614575453426</v>
      </c>
      <c r="BQ39">
        <v>9.9985060000000008</v>
      </c>
      <c r="BR39">
        <v>2.31</v>
      </c>
      <c r="BS39">
        <v>5.1166349999999996</v>
      </c>
      <c r="BT39">
        <v>94.492663502717292</v>
      </c>
      <c r="BU39">
        <v>688.87413060200208</v>
      </c>
    </row>
    <row r="40" spans="1:73" x14ac:dyDescent="0.2">
      <c r="A40" s="23" t="s">
        <v>130</v>
      </c>
      <c r="B40" s="5">
        <f>Qgd_Q1*1000000000</f>
        <v>2.9</v>
      </c>
      <c r="C40" s="482" t="s">
        <v>69</v>
      </c>
      <c r="D40" s="21" t="s">
        <v>131</v>
      </c>
      <c r="G40">
        <v>31</v>
      </c>
      <c r="H40" s="610">
        <f t="shared" si="0"/>
        <v>10.65</v>
      </c>
      <c r="I40" s="4" t="str">
        <f t="shared" si="1"/>
        <v>BOOST</v>
      </c>
      <c r="J40">
        <f t="shared" si="43"/>
        <v>2</v>
      </c>
      <c r="K40">
        <f t="shared" si="2"/>
        <v>12</v>
      </c>
      <c r="L40" s="4">
        <f t="shared" si="3"/>
        <v>15.023474178403754</v>
      </c>
      <c r="M40" s="4">
        <f t="shared" si="4"/>
        <v>13.631283918082945</v>
      </c>
      <c r="N40" s="386">
        <f t="shared" si="5"/>
        <v>1</v>
      </c>
      <c r="O40" s="386">
        <f t="shared" si="44"/>
        <v>0.11967206668763759</v>
      </c>
      <c r="P40" s="4">
        <f t="shared" si="6"/>
        <v>1.070533639011557</v>
      </c>
      <c r="Q40" s="386">
        <f t="shared" si="7"/>
        <v>15.026652318858392</v>
      </c>
      <c r="R40" s="386">
        <f t="shared" si="8"/>
        <v>0.80515443568743739</v>
      </c>
      <c r="S40" s="386">
        <f t="shared" si="45"/>
        <v>1.6432450371612412E-2</v>
      </c>
      <c r="T40" s="386">
        <f t="shared" si="46"/>
        <v>0.82158688605904984</v>
      </c>
      <c r="U40" s="4">
        <f t="shared" si="9"/>
        <v>4.4258772912330153</v>
      </c>
      <c r="V40" s="386">
        <f t="shared" si="10"/>
        <v>3.9176779594104191E-2</v>
      </c>
      <c r="W40" s="386">
        <f t="shared" si="47"/>
        <v>3.9176779594104191E-2</v>
      </c>
      <c r="X40" s="386">
        <f t="shared" si="11"/>
        <v>0.30903644232993605</v>
      </c>
      <c r="Y40" s="386">
        <f t="shared" si="12"/>
        <v>1.9100704537588779E-4</v>
      </c>
      <c r="Z40" s="603">
        <f t="shared" si="48"/>
        <v>1.9100704537588779E-4</v>
      </c>
      <c r="AA40" s="386">
        <f t="shared" si="13"/>
        <v>15.026652318858392</v>
      </c>
      <c r="AB40" s="386">
        <f t="shared" si="14"/>
        <v>1.2870615954975582</v>
      </c>
      <c r="AC40" s="386">
        <f t="shared" si="15"/>
        <v>0</v>
      </c>
      <c r="AD40">
        <f t="shared" si="16"/>
        <v>0</v>
      </c>
      <c r="AE40" s="386">
        <f t="shared" si="17"/>
        <v>1.7332116174305792</v>
      </c>
      <c r="AF40" s="386">
        <f t="shared" si="18"/>
        <v>0</v>
      </c>
      <c r="AG40" s="386">
        <f t="shared" si="19"/>
        <v>0</v>
      </c>
      <c r="AH40" s="386">
        <f t="shared" si="20"/>
        <v>0</v>
      </c>
      <c r="AI40" s="386">
        <f t="shared" si="21"/>
        <v>0</v>
      </c>
      <c r="AJ40" s="386">
        <f t="shared" si="22"/>
        <v>5.1982676110121941</v>
      </c>
      <c r="AK40" s="386">
        <f t="shared" si="23"/>
        <v>5.1341773695827007E-2</v>
      </c>
      <c r="AL40" s="386">
        <f t="shared" si="24"/>
        <v>0.14394515109355069</v>
      </c>
      <c r="AM40">
        <f t="shared" si="25"/>
        <v>0</v>
      </c>
      <c r="AN40" s="386">
        <f t="shared" si="26"/>
        <v>0.19731300471645691</v>
      </c>
      <c r="AO40" s="386">
        <f t="shared" si="27"/>
        <v>14.098875620280998</v>
      </c>
      <c r="AP40" s="386">
        <f t="shared" si="28"/>
        <v>0.37767875813669238</v>
      </c>
      <c r="AQ40" s="386">
        <f t="shared" si="29"/>
        <v>0.30046948356807507</v>
      </c>
      <c r="AR40" s="386">
        <f t="shared" si="30"/>
        <v>0.73355810448972458</v>
      </c>
      <c r="AS40" s="386">
        <f t="shared" si="31"/>
        <v>1.2870615954975582</v>
      </c>
      <c r="AT40" s="386">
        <f t="shared" si="32"/>
        <v>0</v>
      </c>
      <c r="AU40" s="386">
        <f t="shared" si="33"/>
        <v>9.8999999999999977E-2</v>
      </c>
      <c r="AV40" s="386">
        <f t="shared" si="34"/>
        <v>0.1080879446227937</v>
      </c>
      <c r="AW40" s="386">
        <f t="shared" si="35"/>
        <v>0.59328000000000003</v>
      </c>
      <c r="AX40" s="386">
        <f t="shared" si="36"/>
        <v>3.6000000000000004E-2</v>
      </c>
      <c r="AY40" s="386">
        <f t="shared" si="37"/>
        <v>0.13200000000000001</v>
      </c>
      <c r="AZ40" s="386">
        <f t="shared" si="38"/>
        <v>4.3499999999999997E-2</v>
      </c>
      <c r="BA40" s="386">
        <f t="shared" si="56"/>
        <v>0.16800000000000001</v>
      </c>
      <c r="BB40" s="386">
        <f t="shared" si="57"/>
        <v>4.4934053439580843</v>
      </c>
      <c r="BC40">
        <f t="shared" si="39"/>
        <v>144</v>
      </c>
      <c r="BD40" s="604">
        <f t="shared" si="50"/>
        <v>0.96974003435674527</v>
      </c>
      <c r="BE40" s="614">
        <f t="shared" si="40"/>
        <v>14.815650235822844</v>
      </c>
      <c r="BF40" s="614">
        <f t="shared" si="41"/>
        <v>36.677905224486231</v>
      </c>
      <c r="BG40" s="9"/>
      <c r="BH40" s="4">
        <f t="shared" si="51"/>
        <v>96.974003435674533</v>
      </c>
      <c r="BI40" s="386">
        <f t="shared" si="52"/>
        <v>0.82158688605904984</v>
      </c>
      <c r="BJ40" s="386">
        <f t="shared" si="53"/>
        <v>2.7630827266367604</v>
      </c>
      <c r="BK40" s="386">
        <f t="shared" si="54"/>
        <v>3.2669999999999991E-2</v>
      </c>
      <c r="BL40" s="386">
        <f t="shared" si="55"/>
        <v>0.1080879446227937</v>
      </c>
      <c r="BQ40">
        <v>9.9984319999999993</v>
      </c>
      <c r="BR40">
        <v>2.7269999999999999</v>
      </c>
      <c r="BS40">
        <v>5.115812</v>
      </c>
      <c r="BT40">
        <v>94.558770424517263</v>
      </c>
      <c r="BU40">
        <v>802.77694931200062</v>
      </c>
    </row>
    <row r="41" spans="1:73" x14ac:dyDescent="0.2">
      <c r="A41" s="23" t="s">
        <v>148</v>
      </c>
      <c r="B41" s="5">
        <f>Qgs_Q1*1000000000</f>
        <v>3.3</v>
      </c>
      <c r="C41" s="482" t="s">
        <v>69</v>
      </c>
      <c r="D41" s="21"/>
      <c r="G41">
        <v>32</v>
      </c>
      <c r="H41" s="610">
        <f t="shared" si="0"/>
        <v>10.8</v>
      </c>
      <c r="I41" s="4" t="str">
        <f t="shared" si="1"/>
        <v>BOOST</v>
      </c>
      <c r="J41">
        <f t="shared" si="43"/>
        <v>2</v>
      </c>
      <c r="K41">
        <f t="shared" si="2"/>
        <v>12</v>
      </c>
      <c r="L41" s="4">
        <f t="shared" si="3"/>
        <v>14.814814814814813</v>
      </c>
      <c r="M41" s="4">
        <f t="shared" si="4"/>
        <v>13.437999305314344</v>
      </c>
      <c r="N41" s="386">
        <f t="shared" si="5"/>
        <v>1</v>
      </c>
      <c r="O41" s="386">
        <f t="shared" si="44"/>
        <v>0.10700992555831257</v>
      </c>
      <c r="P41" s="4">
        <f t="shared" si="6"/>
        <v>0.97110031735975377</v>
      </c>
      <c r="Q41" s="386">
        <f t="shared" si="7"/>
        <v>14.817466865700128</v>
      </c>
      <c r="R41" s="386">
        <f t="shared" si="8"/>
        <v>0.78150165920851322</v>
      </c>
      <c r="S41" s="386">
        <f t="shared" si="45"/>
        <v>1.3126824311898301E-2</v>
      </c>
      <c r="T41" s="386">
        <f t="shared" si="46"/>
        <v>0.79462848352041149</v>
      </c>
      <c r="U41" s="4">
        <f t="shared" si="9"/>
        <v>4.1551665333373444</v>
      </c>
      <c r="V41" s="386">
        <f t="shared" si="10"/>
        <v>3.4530817839533372E-2</v>
      </c>
      <c r="W41" s="386">
        <f t="shared" si="47"/>
        <v>3.4530817839533372E-2</v>
      </c>
      <c r="X41" s="386">
        <f t="shared" si="11"/>
        <v>0.28033251481889243</v>
      </c>
      <c r="Y41" s="386">
        <f t="shared" si="12"/>
        <v>1.5717263772936909E-4</v>
      </c>
      <c r="Z41" s="603">
        <f t="shared" si="48"/>
        <v>1.5717263772936909E-4</v>
      </c>
      <c r="AA41" s="386">
        <f t="shared" si="13"/>
        <v>14.817466865700128</v>
      </c>
      <c r="AB41" s="386">
        <f t="shared" si="14"/>
        <v>1.2514767486018907</v>
      </c>
      <c r="AC41" s="386">
        <f t="shared" si="15"/>
        <v>0</v>
      </c>
      <c r="AD41">
        <f t="shared" si="16"/>
        <v>0</v>
      </c>
      <c r="AE41" s="386">
        <f t="shared" si="17"/>
        <v>1.6692930317760732</v>
      </c>
      <c r="AF41" s="386">
        <f t="shared" si="18"/>
        <v>0</v>
      </c>
      <c r="AG41" s="386">
        <f t="shared" si="19"/>
        <v>0</v>
      </c>
      <c r="AH41" s="386">
        <f t="shared" si="20"/>
        <v>0</v>
      </c>
      <c r="AI41" s="386">
        <f t="shared" si="21"/>
        <v>0</v>
      </c>
      <c r="AJ41" s="386">
        <f t="shared" si="22"/>
        <v>4.8471448225579579</v>
      </c>
      <c r="AK41" s="386">
        <f t="shared" si="23"/>
        <v>4.4640144568615793E-2</v>
      </c>
      <c r="AL41" s="386">
        <f t="shared" si="24"/>
        <v>0.14194591288391803</v>
      </c>
      <c r="AM41">
        <f t="shared" si="25"/>
        <v>0</v>
      </c>
      <c r="AN41" s="386">
        <f t="shared" si="26"/>
        <v>0.18826690986732661</v>
      </c>
      <c r="AO41" s="386">
        <f t="shared" si="27"/>
        <v>14.00223237149244</v>
      </c>
      <c r="AP41" s="386">
        <f t="shared" si="28"/>
        <v>0.37251877163201452</v>
      </c>
      <c r="AQ41" s="386">
        <f t="shared" si="29"/>
        <v>0.29629629629629628</v>
      </c>
      <c r="AR41" s="386">
        <f t="shared" si="30"/>
        <v>0.72265562508201431</v>
      </c>
      <c r="AS41" s="386">
        <f t="shared" si="31"/>
        <v>1.2514767486018907</v>
      </c>
      <c r="AT41" s="386">
        <f t="shared" si="32"/>
        <v>0</v>
      </c>
      <c r="AU41" s="386">
        <f t="shared" si="33"/>
        <v>9.8999999999999977E-2</v>
      </c>
      <c r="AV41" s="386">
        <f t="shared" si="34"/>
        <v>9.3979251723401672E-2</v>
      </c>
      <c r="AW41" s="386">
        <f t="shared" si="35"/>
        <v>0.59328000000000003</v>
      </c>
      <c r="AX41" s="386">
        <f t="shared" si="36"/>
        <v>3.6000000000000004E-2</v>
      </c>
      <c r="AY41" s="386">
        <f t="shared" si="37"/>
        <v>0.13200000000000001</v>
      </c>
      <c r="AZ41" s="386">
        <f t="shared" si="38"/>
        <v>4.3499999999999997E-2</v>
      </c>
      <c r="BA41" s="386">
        <f t="shared" si="56"/>
        <v>0.16800000000000001</v>
      </c>
      <c r="BB41" s="386">
        <f t="shared" si="57"/>
        <v>4.3637912924464892</v>
      </c>
      <c r="BC41">
        <f t="shared" si="39"/>
        <v>144</v>
      </c>
      <c r="BD41" s="604">
        <f t="shared" si="50"/>
        <v>0.97058722175786938</v>
      </c>
      <c r="BE41" s="614">
        <f t="shared" si="40"/>
        <v>14.363345493366332</v>
      </c>
      <c r="BF41" s="614">
        <f t="shared" si="41"/>
        <v>36.132781254100713</v>
      </c>
      <c r="BG41" s="9"/>
      <c r="BH41" s="4">
        <f t="shared" si="51"/>
        <v>97.05872217578694</v>
      </c>
      <c r="BI41" s="386">
        <f t="shared" si="52"/>
        <v>0.79462848352041149</v>
      </c>
      <c r="BJ41" s="386">
        <f t="shared" si="53"/>
        <v>2.6792155667254143</v>
      </c>
      <c r="BK41" s="386">
        <f t="shared" si="54"/>
        <v>3.2669999999999991E-2</v>
      </c>
      <c r="BL41" s="386">
        <f t="shared" si="55"/>
        <v>9.3979251723401672E-2</v>
      </c>
      <c r="BQ41">
        <v>9.9985180000000007</v>
      </c>
      <c r="BR41">
        <v>3.1859999999999999</v>
      </c>
      <c r="BS41">
        <v>5.1148889999999998</v>
      </c>
      <c r="BT41">
        <v>94.58411932633652</v>
      </c>
      <c r="BU41">
        <v>933.10990806000302</v>
      </c>
    </row>
    <row r="42" spans="1:73" x14ac:dyDescent="0.2">
      <c r="A42" s="23" t="s">
        <v>94</v>
      </c>
      <c r="B42" s="5">
        <f>Rgate1</f>
        <v>1.5</v>
      </c>
      <c r="C42" s="486" t="s">
        <v>120</v>
      </c>
      <c r="D42" s="21" t="s">
        <v>104</v>
      </c>
      <c r="G42">
        <v>33</v>
      </c>
      <c r="H42" s="610">
        <f t="shared" si="0"/>
        <v>10.95</v>
      </c>
      <c r="I42" s="4" t="str">
        <f t="shared" si="1"/>
        <v>BOOST</v>
      </c>
      <c r="J42">
        <f t="shared" si="43"/>
        <v>2</v>
      </c>
      <c r="K42">
        <f t="shared" si="2"/>
        <v>12</v>
      </c>
      <c r="L42" s="4">
        <f t="shared" si="3"/>
        <v>14.611872146118721</v>
      </c>
      <c r="M42" s="4">
        <f t="shared" si="4"/>
        <v>13.250184719964533</v>
      </c>
      <c r="N42" s="386">
        <f t="shared" si="5"/>
        <v>1</v>
      </c>
      <c r="O42" s="386">
        <f t="shared" ref="O42:O73" si="58">CHOOSE(J42,0,(Vout+(Rdson3+Rdcr)*L42-H42)/(Vout+(Rdson3-Rdson4-Rs)*L42),IF(H42&gt;Vout,D_min_boost_exitBB_to_buck, (Vout-H42*D_max_buck_BB)/Vout))</f>
        <v>9.4352248394004287E-2</v>
      </c>
      <c r="P42" s="4">
        <f t="shared" si="6"/>
        <v>0.86842935085506434</v>
      </c>
      <c r="Q42" s="386">
        <f t="shared" si="7"/>
        <v>14.614022549454765</v>
      </c>
      <c r="R42" s="386">
        <f t="shared" si="8"/>
        <v>0.75889496322802175</v>
      </c>
      <c r="S42" s="386">
        <f t="shared" si="45"/>
        <v>1.0147229143134189E-2</v>
      </c>
      <c r="T42" s="386">
        <f t="shared" si="46"/>
        <v>0.7690421923711559</v>
      </c>
      <c r="U42" s="4">
        <f t="shared" si="9"/>
        <v>3.8741146366071928</v>
      </c>
      <c r="V42" s="386">
        <f t="shared" si="10"/>
        <v>3.0017528435148162E-2</v>
      </c>
      <c r="W42" s="386">
        <f t="shared" si="47"/>
        <v>3.0017528435148162E-2</v>
      </c>
      <c r="X42" s="386">
        <f t="shared" si="11"/>
        <v>0.25069395974417169</v>
      </c>
      <c r="Y42" s="386">
        <f t="shared" si="12"/>
        <v>1.2569492290442474E-4</v>
      </c>
      <c r="Z42" s="603">
        <f t="shared" si="48"/>
        <v>1.2569492290442474E-4</v>
      </c>
      <c r="AA42" s="386">
        <f t="shared" si="13"/>
        <v>14.614022549454765</v>
      </c>
      <c r="AB42" s="386">
        <f t="shared" si="14"/>
        <v>1.2173470339330423</v>
      </c>
      <c r="AC42" s="386">
        <f t="shared" si="15"/>
        <v>0</v>
      </c>
      <c r="AD42">
        <f t="shared" si="16"/>
        <v>0</v>
      </c>
      <c r="AE42" s="386">
        <f t="shared" si="17"/>
        <v>1.6091180513431929</v>
      </c>
      <c r="AF42" s="386">
        <f t="shared" si="18"/>
        <v>0</v>
      </c>
      <c r="AG42" s="386">
        <f t="shared" si="19"/>
        <v>0</v>
      </c>
      <c r="AH42" s="386">
        <f t="shared" si="20"/>
        <v>0</v>
      </c>
      <c r="AI42" s="386">
        <f t="shared" si="21"/>
        <v>0</v>
      </c>
      <c r="AJ42" s="386">
        <f t="shared" si="22"/>
        <v>4.4889617001206368</v>
      </c>
      <c r="AK42" s="386">
        <f t="shared" si="23"/>
        <v>3.828647657578492E-2</v>
      </c>
      <c r="AL42" s="386">
        <f t="shared" si="24"/>
        <v>0.14000144832386435</v>
      </c>
      <c r="AM42">
        <f t="shared" si="25"/>
        <v>0</v>
      </c>
      <c r="AN42" s="386">
        <f t="shared" si="26"/>
        <v>0.17966366262174674</v>
      </c>
      <c r="AO42" s="386">
        <f t="shared" si="27"/>
        <v>13.907511565007681</v>
      </c>
      <c r="AP42" s="386">
        <f t="shared" si="28"/>
        <v>0.36749586806856255</v>
      </c>
      <c r="AQ42" s="386">
        <f t="shared" si="29"/>
        <v>0.29223744292237441</v>
      </c>
      <c r="AR42" s="386">
        <f t="shared" si="30"/>
        <v>0.71206985703850112</v>
      </c>
      <c r="AS42" s="386">
        <f t="shared" si="31"/>
        <v>1.2173470339330423</v>
      </c>
      <c r="AT42" s="386">
        <f t="shared" si="32"/>
        <v>0</v>
      </c>
      <c r="AU42" s="386">
        <f t="shared" si="33"/>
        <v>9.8999999999999977E-2</v>
      </c>
      <c r="AV42" s="386">
        <f t="shared" si="34"/>
        <v>8.0603108580599839E-2</v>
      </c>
      <c r="AW42" s="386">
        <f t="shared" si="35"/>
        <v>0.59328000000000003</v>
      </c>
      <c r="AX42" s="386">
        <f t="shared" si="36"/>
        <v>3.6000000000000004E-2</v>
      </c>
      <c r="AY42" s="386">
        <f t="shared" si="37"/>
        <v>0.13200000000000001</v>
      </c>
      <c r="AZ42" s="386">
        <f t="shared" si="38"/>
        <v>4.3499999999999997E-2</v>
      </c>
      <c r="BA42" s="386">
        <f t="shared" si="56"/>
        <v>0.16800000000000001</v>
      </c>
      <c r="BB42" s="386">
        <f t="shared" si="57"/>
        <v>4.2409200953132498</v>
      </c>
      <c r="BC42">
        <f t="shared" si="39"/>
        <v>144</v>
      </c>
      <c r="BD42" s="604">
        <f t="shared" si="50"/>
        <v>0.9713917041759691</v>
      </c>
      <c r="BE42" s="614">
        <f t="shared" si="40"/>
        <v>13.933183131087334</v>
      </c>
      <c r="BF42" s="614">
        <f t="shared" si="41"/>
        <v>35.603492851925054</v>
      </c>
      <c r="BG42" s="9"/>
      <c r="BH42" s="4">
        <f t="shared" si="51"/>
        <v>97.139170417596915</v>
      </c>
      <c r="BI42" s="386">
        <f t="shared" si="52"/>
        <v>0.7690421923711559</v>
      </c>
      <c r="BJ42" s="386">
        <f t="shared" si="53"/>
        <v>2.5998515710034411</v>
      </c>
      <c r="BK42" s="386">
        <f t="shared" si="54"/>
        <v>3.2669999999999991E-2</v>
      </c>
      <c r="BL42" s="386">
        <f t="shared" si="55"/>
        <v>8.0603108580599839E-2</v>
      </c>
      <c r="BQ42">
        <v>9.9984190000000002</v>
      </c>
      <c r="BR42">
        <v>3.6920000000000002</v>
      </c>
      <c r="BS42">
        <v>5.1137540000000001</v>
      </c>
      <c r="BT42">
        <v>94.441363374789603</v>
      </c>
      <c r="BU42">
        <v>1111.2391205219994</v>
      </c>
    </row>
    <row r="43" spans="1:73" x14ac:dyDescent="0.2">
      <c r="A43" s="23" t="s">
        <v>73</v>
      </c>
      <c r="B43" s="5">
        <f>Gfs_Q1</f>
        <v>60</v>
      </c>
      <c r="C43" s="482" t="s">
        <v>70</v>
      </c>
      <c r="D43" s="21" t="s">
        <v>105</v>
      </c>
      <c r="G43">
        <v>34</v>
      </c>
      <c r="H43" s="610">
        <f t="shared" si="0"/>
        <v>11.100000000000001</v>
      </c>
      <c r="I43" s="4" t="str">
        <f t="shared" si="1"/>
        <v>BUCK-BST</v>
      </c>
      <c r="J43">
        <f t="shared" si="43"/>
        <v>3</v>
      </c>
      <c r="K43">
        <f t="shared" si="2"/>
        <v>12</v>
      </c>
      <c r="L43" s="4">
        <f t="shared" si="3"/>
        <v>14.414414414414411</v>
      </c>
      <c r="M43" s="4">
        <f t="shared" si="4"/>
        <v>13.478413478413476</v>
      </c>
      <c r="N43" s="386">
        <f t="shared" si="5"/>
        <v>0.96250000000000002</v>
      </c>
      <c r="O43" s="386">
        <f t="shared" si="58"/>
        <v>0.10968749999999987</v>
      </c>
      <c r="P43" s="4">
        <f t="shared" si="6"/>
        <v>2.0474999999999977</v>
      </c>
      <c r="Q43" s="386">
        <f t="shared" si="7"/>
        <v>13.491367039057906</v>
      </c>
      <c r="R43" s="386">
        <f t="shared" si="8"/>
        <v>0.64102652605469546</v>
      </c>
      <c r="S43" s="386">
        <f t="shared" si="45"/>
        <v>7.3208765759474173E-2</v>
      </c>
      <c r="T43" s="386">
        <f t="shared" si="46"/>
        <v>0.71423529181416967</v>
      </c>
      <c r="U43" s="4">
        <f t="shared" si="9"/>
        <v>4.2171083257200417</v>
      </c>
      <c r="V43" s="386">
        <f t="shared" si="10"/>
        <v>3.5568005261714587E-2</v>
      </c>
      <c r="W43" s="386">
        <f t="shared" si="47"/>
        <v>3.5568005261714587E-2</v>
      </c>
      <c r="X43" s="386">
        <f t="shared" si="11"/>
        <v>0.59106233808287878</v>
      </c>
      <c r="Y43" s="386">
        <f t="shared" si="12"/>
        <v>6.9870937499999866E-4</v>
      </c>
      <c r="Z43" s="603">
        <f t="shared" si="48"/>
        <v>6.9870937499999866E-4</v>
      </c>
      <c r="AA43" s="386">
        <f t="shared" si="13"/>
        <v>13.235986841211782</v>
      </c>
      <c r="AB43" s="386">
        <f t="shared" si="14"/>
        <v>0.99859068166616916</v>
      </c>
      <c r="AC43" s="386">
        <f t="shared" si="15"/>
        <v>6.4002361275088529E-2</v>
      </c>
      <c r="AD43">
        <f t="shared" si="16"/>
        <v>0</v>
      </c>
      <c r="AE43" s="386">
        <f t="shared" si="17"/>
        <v>1.3277734897959863</v>
      </c>
      <c r="AF43" s="386">
        <f t="shared" si="18"/>
        <v>2.6125919929921464</v>
      </c>
      <c r="AG43" s="386">
        <f t="shared" si="19"/>
        <v>3.8906130454526053E-2</v>
      </c>
      <c r="AH43" s="386">
        <f t="shared" si="20"/>
        <v>0.12</v>
      </c>
      <c r="AI43" s="386">
        <f t="shared" si="21"/>
        <v>0.16015231180163575</v>
      </c>
      <c r="AJ43" s="386">
        <f t="shared" si="22"/>
        <v>4.4682197793306351</v>
      </c>
      <c r="AK43" s="386">
        <f t="shared" si="23"/>
        <v>3.7933477193162868E-2</v>
      </c>
      <c r="AL43" s="386">
        <f t="shared" si="24"/>
        <v>5.7488094717986812E-2</v>
      </c>
      <c r="AM43">
        <f t="shared" si="25"/>
        <v>0</v>
      </c>
      <c r="AN43" s="386">
        <f t="shared" si="26"/>
        <v>9.6151040572077628E-2</v>
      </c>
      <c r="AO43" s="386">
        <f t="shared" si="27"/>
        <v>12.729964516296839</v>
      </c>
      <c r="AP43" s="386">
        <f t="shared" si="28"/>
        <v>0.30789879351373556</v>
      </c>
      <c r="AQ43" s="386">
        <f t="shared" si="29"/>
        <v>0.14414414414414412</v>
      </c>
      <c r="AR43" s="386">
        <f t="shared" si="30"/>
        <v>0.48170629507413948</v>
      </c>
      <c r="AS43" s="386">
        <f t="shared" si="31"/>
        <v>0</v>
      </c>
      <c r="AT43" s="386">
        <f t="shared" si="32"/>
        <v>0</v>
      </c>
      <c r="AU43" s="386">
        <f t="shared" si="33"/>
        <v>0.13637384999999999</v>
      </c>
      <c r="AV43" s="386">
        <f t="shared" si="34"/>
        <v>0.10716249967299274</v>
      </c>
      <c r="AW43" s="386">
        <f t="shared" si="35"/>
        <v>0.59328000000000003</v>
      </c>
      <c r="AX43" s="386">
        <f t="shared" si="36"/>
        <v>3.6000000000000004E-2</v>
      </c>
      <c r="AY43" s="386">
        <f t="shared" si="37"/>
        <v>9.8999999999999977E-2</v>
      </c>
      <c r="AZ43" s="386">
        <f t="shared" si="38"/>
        <v>4.3499999999999997E-2</v>
      </c>
      <c r="BA43" s="386">
        <f t="shared" si="56"/>
        <v>0.13499999999999998</v>
      </c>
      <c r="BB43" s="386">
        <f t="shared" si="57"/>
        <v>3.7881014933677157</v>
      </c>
      <c r="BC43">
        <f t="shared" si="39"/>
        <v>144</v>
      </c>
      <c r="BD43" s="604">
        <f t="shared" si="50"/>
        <v>0.97436802113911913</v>
      </c>
      <c r="BE43" s="614">
        <f t="shared" si="40"/>
        <v>11.62624452860388</v>
      </c>
      <c r="BF43" s="614">
        <f t="shared" si="41"/>
        <v>24.085314753706974</v>
      </c>
      <c r="BG43" s="9"/>
      <c r="BH43" s="4">
        <f t="shared" si="51"/>
        <v>97.436802113911909</v>
      </c>
      <c r="BI43" s="386">
        <f t="shared" si="52"/>
        <v>0.71423529181416967</v>
      </c>
      <c r="BJ43" s="386">
        <f t="shared" si="53"/>
        <v>2.2021569872438391</v>
      </c>
      <c r="BK43" s="386">
        <f t="shared" si="54"/>
        <v>0.20515568230163575</v>
      </c>
      <c r="BL43" s="386">
        <f t="shared" si="55"/>
        <v>0.10716249967299274</v>
      </c>
      <c r="BQ43">
        <v>9.998246</v>
      </c>
      <c r="BR43">
        <v>4.2430000000000003</v>
      </c>
      <c r="BS43">
        <v>5.1120590000000004</v>
      </c>
      <c r="BT43">
        <v>94.267178615859891</v>
      </c>
      <c r="BU43">
        <v>1319.0970775599953</v>
      </c>
    </row>
    <row r="44" spans="1:73" x14ac:dyDescent="0.2">
      <c r="A44" s="23" t="s">
        <v>96</v>
      </c>
      <c r="B44" s="5">
        <f>Vth_Q1</f>
        <v>4</v>
      </c>
      <c r="C44" s="482" t="s">
        <v>0</v>
      </c>
      <c r="D44" s="21" t="s">
        <v>106</v>
      </c>
      <c r="G44">
        <v>35</v>
      </c>
      <c r="H44" s="610">
        <f t="shared" si="0"/>
        <v>11.25</v>
      </c>
      <c r="I44" s="4" t="str">
        <f t="shared" si="1"/>
        <v>BUCK-BST</v>
      </c>
      <c r="J44">
        <f t="shared" si="43"/>
        <v>3</v>
      </c>
      <c r="K44">
        <f t="shared" si="2"/>
        <v>12</v>
      </c>
      <c r="L44" s="4">
        <f t="shared" si="3"/>
        <v>14.222222222222221</v>
      </c>
      <c r="M44" s="4">
        <f t="shared" si="4"/>
        <v>13.2987012987013</v>
      </c>
      <c r="N44" s="386">
        <f t="shared" si="5"/>
        <v>0.96250000000000002</v>
      </c>
      <c r="O44" s="386">
        <f t="shared" si="58"/>
        <v>9.765625E-2</v>
      </c>
      <c r="P44" s="4">
        <f t="shared" si="6"/>
        <v>1.8481456855791962</v>
      </c>
      <c r="Q44" s="386">
        <f t="shared" si="7"/>
        <v>13.309398675560317</v>
      </c>
      <c r="R44" s="386">
        <f t="shared" si="8"/>
        <v>0.62299509767627104</v>
      </c>
      <c r="S44" s="386">
        <f t="shared" si="45"/>
        <v>5.7818045512860045E-2</v>
      </c>
      <c r="T44" s="386">
        <f t="shared" si="46"/>
        <v>0.68081314318913111</v>
      </c>
      <c r="U44" s="4">
        <f t="shared" si="9"/>
        <v>3.9516098543243072</v>
      </c>
      <c r="V44" s="386">
        <f t="shared" si="10"/>
        <v>3.1230440881585945E-2</v>
      </c>
      <c r="W44" s="386">
        <f t="shared" si="47"/>
        <v>3.1230440881585945E-2</v>
      </c>
      <c r="X44" s="386">
        <f t="shared" si="11"/>
        <v>0.53351370453539726</v>
      </c>
      <c r="Y44" s="386">
        <f t="shared" si="12"/>
        <v>5.6927374585416632E-4</v>
      </c>
      <c r="Z44" s="603">
        <f t="shared" si="48"/>
        <v>5.6927374585416632E-4</v>
      </c>
      <c r="AA44" s="386">
        <f t="shared" si="13"/>
        <v>13.057462985341715</v>
      </c>
      <c r="AB44" s="386">
        <f t="shared" si="14"/>
        <v>0.9718348357973432</v>
      </c>
      <c r="AC44" s="386">
        <f t="shared" si="15"/>
        <v>6.4002361275088543E-2</v>
      </c>
      <c r="AD44">
        <f t="shared" si="16"/>
        <v>0</v>
      </c>
      <c r="AE44" s="386">
        <f t="shared" si="17"/>
        <v>1.2857432042231907</v>
      </c>
      <c r="AF44" s="386">
        <f t="shared" si="18"/>
        <v>2.5773539709240074</v>
      </c>
      <c r="AG44" s="386">
        <f t="shared" si="19"/>
        <v>3.786369490119517E-2</v>
      </c>
      <c r="AH44" s="386">
        <f t="shared" si="20"/>
        <v>0.12</v>
      </c>
      <c r="AI44" s="386">
        <f t="shared" si="21"/>
        <v>0.15906827744633248</v>
      </c>
      <c r="AJ44" s="386">
        <f t="shared" si="22"/>
        <v>4.159187086112599</v>
      </c>
      <c r="AK44" s="386">
        <f t="shared" si="23"/>
        <v>3.2867790712843042E-2</v>
      </c>
      <c r="AL44" s="386">
        <f t="shared" si="24"/>
        <v>5.7488094717986812E-2</v>
      </c>
      <c r="AM44">
        <f t="shared" si="25"/>
        <v>0</v>
      </c>
      <c r="AN44" s="386">
        <f t="shared" si="26"/>
        <v>9.0953775361454506E-2</v>
      </c>
      <c r="AO44" s="386">
        <f t="shared" si="27"/>
        <v>12.64283417148706</v>
      </c>
      <c r="AP44" s="386">
        <f t="shared" si="28"/>
        <v>0.30369838618666967</v>
      </c>
      <c r="AQ44" s="386">
        <f t="shared" si="29"/>
        <v>0.14222222222222222</v>
      </c>
      <c r="AR44" s="386">
        <f t="shared" si="30"/>
        <v>0.47475720798819254</v>
      </c>
      <c r="AS44" s="386">
        <f t="shared" si="31"/>
        <v>0</v>
      </c>
      <c r="AT44" s="386">
        <f t="shared" si="32"/>
        <v>0</v>
      </c>
      <c r="AU44" s="386">
        <f t="shared" si="33"/>
        <v>0.13755509999999999</v>
      </c>
      <c r="AV44" s="386">
        <f t="shared" si="34"/>
        <v>9.5766362834894245E-2</v>
      </c>
      <c r="AW44" s="386">
        <f t="shared" si="35"/>
        <v>0.59328000000000003</v>
      </c>
      <c r="AX44" s="386">
        <f t="shared" si="36"/>
        <v>3.6000000000000004E-2</v>
      </c>
      <c r="AY44" s="386">
        <f t="shared" si="37"/>
        <v>9.8999999999999977E-2</v>
      </c>
      <c r="AZ44" s="386">
        <f t="shared" si="38"/>
        <v>4.3499999999999997E-2</v>
      </c>
      <c r="BA44" s="386">
        <f t="shared" si="56"/>
        <v>0.13499999999999998</v>
      </c>
      <c r="BB44" s="386">
        <f t="shared" si="57"/>
        <v>3.6847367856706357</v>
      </c>
      <c r="BC44">
        <f t="shared" si="39"/>
        <v>144</v>
      </c>
      <c r="BD44" s="604">
        <f t="shared" si="50"/>
        <v>0.97504998237551022</v>
      </c>
      <c r="BE44" s="614">
        <f t="shared" si="40"/>
        <v>11.425443768072723</v>
      </c>
      <c r="BF44" s="614">
        <f t="shared" si="41"/>
        <v>23.737860399409627</v>
      </c>
      <c r="BG44" s="9"/>
      <c r="BH44" s="4">
        <f t="shared" si="51"/>
        <v>97.504998237551021</v>
      </c>
      <c r="BI44" s="386">
        <f t="shared" si="52"/>
        <v>0.68081314318913111</v>
      </c>
      <c r="BJ44" s="386">
        <f t="shared" si="53"/>
        <v>2.1480775650191704</v>
      </c>
      <c r="BK44" s="386">
        <f t="shared" si="54"/>
        <v>0.20446146044633248</v>
      </c>
      <c r="BL44" s="386">
        <f t="shared" si="55"/>
        <v>9.5766362834894245E-2</v>
      </c>
      <c r="BQ44">
        <v>9.9981469999999995</v>
      </c>
      <c r="BR44">
        <v>4.8490000000000002</v>
      </c>
      <c r="BS44">
        <v>5.1107740000000002</v>
      </c>
      <c r="BT44">
        <v>93.953815994681278</v>
      </c>
      <c r="BU44">
        <v>1594.7983209009985</v>
      </c>
    </row>
    <row r="45" spans="1:73" x14ac:dyDescent="0.2">
      <c r="A45" s="28" t="s">
        <v>147</v>
      </c>
      <c r="B45" s="489">
        <f>Vsp_Q1</f>
        <v>4.2</v>
      </c>
      <c r="C45" s="487" t="s">
        <v>0</v>
      </c>
      <c r="G45">
        <v>36</v>
      </c>
      <c r="H45" s="610">
        <f t="shared" si="0"/>
        <v>11.399999999999999</v>
      </c>
      <c r="I45" s="4" t="str">
        <f t="shared" si="1"/>
        <v>BUCK-BST</v>
      </c>
      <c r="J45">
        <f t="shared" si="43"/>
        <v>3</v>
      </c>
      <c r="K45">
        <f t="shared" si="2"/>
        <v>12</v>
      </c>
      <c r="L45" s="4">
        <f t="shared" si="3"/>
        <v>14.035087719298247</v>
      </c>
      <c r="M45" s="4">
        <f t="shared" si="4"/>
        <v>13.123718386876284</v>
      </c>
      <c r="N45" s="386">
        <f t="shared" si="5"/>
        <v>0.96250000000000002</v>
      </c>
      <c r="O45" s="386">
        <f t="shared" si="58"/>
        <v>8.5625000000000132E-2</v>
      </c>
      <c r="P45" s="4">
        <f t="shared" si="6"/>
        <v>1.6425681224337461</v>
      </c>
      <c r="Q45" s="386">
        <f t="shared" si="7"/>
        <v>13.132281604292441</v>
      </c>
      <c r="R45" s="386">
        <f t="shared" si="8"/>
        <v>0.60572605330942142</v>
      </c>
      <c r="S45" s="386">
        <f t="shared" si="45"/>
        <v>4.4062495130708999E-2</v>
      </c>
      <c r="T45" s="386">
        <f t="shared" si="46"/>
        <v>0.64978854844013045</v>
      </c>
      <c r="U45" s="4">
        <f t="shared" si="9"/>
        <v>3.6750068012814565</v>
      </c>
      <c r="V45" s="386">
        <f t="shared" si="10"/>
        <v>2.7011349978929924E-2</v>
      </c>
      <c r="W45" s="386">
        <f t="shared" si="47"/>
        <v>2.7011349978929924E-2</v>
      </c>
      <c r="X45" s="386">
        <f t="shared" si="11"/>
        <v>0.47416857382471078</v>
      </c>
      <c r="Y45" s="386">
        <f t="shared" si="12"/>
        <v>4.4967167280592042E-4</v>
      </c>
      <c r="Z45" s="603">
        <f t="shared" si="48"/>
        <v>4.4967167280592042E-4</v>
      </c>
      <c r="AA45" s="386">
        <f t="shared" si="13"/>
        <v>12.883698590831603</v>
      </c>
      <c r="AB45" s="386">
        <f t="shared" si="14"/>
        <v>0.94614122946255852</v>
      </c>
      <c r="AC45" s="386">
        <f t="shared" si="15"/>
        <v>6.4002361275088543E-2</v>
      </c>
      <c r="AD45">
        <f t="shared" si="16"/>
        <v>0</v>
      </c>
      <c r="AE45" s="386">
        <f t="shared" si="17"/>
        <v>1.2459037770125954</v>
      </c>
      <c r="AF45" s="386">
        <f t="shared" si="18"/>
        <v>2.5430553975565315</v>
      </c>
      <c r="AG45" s="386">
        <f t="shared" si="19"/>
        <v>3.6862645303736036E-2</v>
      </c>
      <c r="AH45" s="386">
        <f t="shared" si="20"/>
        <v>0.12</v>
      </c>
      <c r="AI45" s="386">
        <f t="shared" si="21"/>
        <v>0.15802770918208425</v>
      </c>
      <c r="AJ45" s="386">
        <f t="shared" si="22"/>
        <v>3.8427353830326707</v>
      </c>
      <c r="AK45" s="386">
        <f t="shared" si="23"/>
        <v>2.8056568925621368E-2</v>
      </c>
      <c r="AL45" s="386">
        <f t="shared" si="24"/>
        <v>5.7488094717986812E-2</v>
      </c>
      <c r="AM45">
        <f t="shared" si="25"/>
        <v>0</v>
      </c>
      <c r="AN45" s="386">
        <f t="shared" si="26"/>
        <v>8.6027390324836209E-2</v>
      </c>
      <c r="AO45" s="386">
        <f t="shared" si="27"/>
        <v>12.557476056534068</v>
      </c>
      <c r="AP45" s="386">
        <f t="shared" si="28"/>
        <v>0.29961138932981013</v>
      </c>
      <c r="AQ45" s="386">
        <f t="shared" si="29"/>
        <v>0.14035087719298248</v>
      </c>
      <c r="AR45" s="386">
        <f t="shared" si="30"/>
        <v>0.46800626816690161</v>
      </c>
      <c r="AS45" s="386">
        <f t="shared" si="31"/>
        <v>0</v>
      </c>
      <c r="AT45" s="386">
        <f t="shared" si="32"/>
        <v>0</v>
      </c>
      <c r="AU45" s="386">
        <f t="shared" si="33"/>
        <v>0.13873634999999998</v>
      </c>
      <c r="AV45" s="386">
        <f t="shared" si="34"/>
        <v>8.4934983916210627E-2</v>
      </c>
      <c r="AW45" s="386">
        <f t="shared" si="35"/>
        <v>0.59328000000000003</v>
      </c>
      <c r="AX45" s="386">
        <f t="shared" si="36"/>
        <v>3.6000000000000004E-2</v>
      </c>
      <c r="AY45" s="386">
        <f t="shared" si="37"/>
        <v>9.8999999999999977E-2</v>
      </c>
      <c r="AZ45" s="386">
        <f t="shared" si="38"/>
        <v>4.3499999999999997E-2</v>
      </c>
      <c r="BA45" s="386">
        <f t="shared" si="56"/>
        <v>0.13499999999999998</v>
      </c>
      <c r="BB45" s="386">
        <f t="shared" si="57"/>
        <v>3.5871660486944941</v>
      </c>
      <c r="BC45">
        <f t="shared" si="39"/>
        <v>144</v>
      </c>
      <c r="BD45" s="604">
        <f t="shared" si="50"/>
        <v>0.97569459361045696</v>
      </c>
      <c r="BE45" s="614">
        <f t="shared" si="40"/>
        <v>11.23818701624181</v>
      </c>
      <c r="BF45" s="614">
        <f t="shared" si="41"/>
        <v>23.400313408345081</v>
      </c>
      <c r="BG45" s="9"/>
      <c r="BH45" s="4">
        <f t="shared" si="51"/>
        <v>97.569459361045702</v>
      </c>
      <c r="BI45" s="386">
        <f t="shared" si="52"/>
        <v>0.64978854844013045</v>
      </c>
      <c r="BJ45" s="386">
        <f t="shared" si="53"/>
        <v>2.0967014946864175</v>
      </c>
      <c r="BK45" s="386">
        <f t="shared" si="54"/>
        <v>0.20381070468208423</v>
      </c>
      <c r="BL45" s="386">
        <f t="shared" si="55"/>
        <v>8.4934983916210627E-2</v>
      </c>
      <c r="BQ45">
        <v>9.9979859999999992</v>
      </c>
      <c r="BR45">
        <v>5.4960000000000004</v>
      </c>
      <c r="BS45">
        <v>5.1097890000000001</v>
      </c>
      <c r="BT45">
        <v>93.599771362833366</v>
      </c>
      <c r="BU45">
        <v>1920.3056923499939</v>
      </c>
    </row>
    <row r="46" spans="1:73" x14ac:dyDescent="0.2">
      <c r="A46" s="77" t="s">
        <v>239</v>
      </c>
      <c r="B46" s="5">
        <f>Vsd_Q1</f>
        <v>0.8</v>
      </c>
      <c r="C46" s="487" t="s">
        <v>0</v>
      </c>
      <c r="G46">
        <v>37</v>
      </c>
      <c r="H46" s="610">
        <f t="shared" si="0"/>
        <v>11.55</v>
      </c>
      <c r="I46" s="4" t="str">
        <f t="shared" si="1"/>
        <v>BUCK-BST</v>
      </c>
      <c r="J46">
        <f t="shared" si="43"/>
        <v>3</v>
      </c>
      <c r="K46">
        <f t="shared" si="2"/>
        <v>12</v>
      </c>
      <c r="L46" s="4">
        <f t="shared" si="3"/>
        <v>13.852813852813851</v>
      </c>
      <c r="M46" s="4">
        <f t="shared" si="4"/>
        <v>12.953280485748019</v>
      </c>
      <c r="N46" s="386">
        <f t="shared" si="5"/>
        <v>0.96250000000000002</v>
      </c>
      <c r="O46" s="386">
        <f t="shared" si="58"/>
        <v>7.3593749999999972E-2</v>
      </c>
      <c r="P46" s="4">
        <f t="shared" si="6"/>
        <v>1.4307704130975403</v>
      </c>
      <c r="Q46" s="386">
        <f t="shared" si="7"/>
        <v>12.959863708402828</v>
      </c>
      <c r="R46" s="386">
        <f t="shared" si="8"/>
        <v>0.58918015155516001</v>
      </c>
      <c r="S46" s="386">
        <f t="shared" si="45"/>
        <v>3.2057995385590191E-2</v>
      </c>
      <c r="T46" s="386">
        <f t="shared" si="46"/>
        <v>0.62123814694075019</v>
      </c>
      <c r="U46" s="4">
        <f t="shared" si="9"/>
        <v>3.384215960040978</v>
      </c>
      <c r="V46" s="386">
        <f t="shared" si="10"/>
        <v>2.2905835328392157E-2</v>
      </c>
      <c r="W46" s="386">
        <f t="shared" si="47"/>
        <v>2.2905835328392157E-2</v>
      </c>
      <c r="X46" s="386">
        <f t="shared" si="11"/>
        <v>0.4130278415752085</v>
      </c>
      <c r="Y46" s="386">
        <f t="shared" si="12"/>
        <v>3.4118399583255103E-4</v>
      </c>
      <c r="Z46" s="603">
        <f t="shared" si="48"/>
        <v>3.4118399583255103E-4</v>
      </c>
      <c r="AA46" s="386">
        <f t="shared" si="13"/>
        <v>12.714544420273681</v>
      </c>
      <c r="AB46" s="386">
        <f t="shared" si="14"/>
        <v>0.92145994694614186</v>
      </c>
      <c r="AC46" s="386">
        <f t="shared" si="15"/>
        <v>6.4002361275088543E-2</v>
      </c>
      <c r="AD46">
        <f t="shared" si="16"/>
        <v>0</v>
      </c>
      <c r="AE46" s="386">
        <f t="shared" si="17"/>
        <v>1.2081066943100791</v>
      </c>
      <c r="AF46" s="386">
        <f t="shared" si="18"/>
        <v>2.5096668155881017</v>
      </c>
      <c r="AG46" s="386">
        <f t="shared" si="19"/>
        <v>3.5901036894005506E-2</v>
      </c>
      <c r="AH46" s="386">
        <f t="shared" si="20"/>
        <v>0.12</v>
      </c>
      <c r="AI46" s="386">
        <f t="shared" si="21"/>
        <v>0.15702853433491942</v>
      </c>
      <c r="AJ46" s="386">
        <f t="shared" si="22"/>
        <v>3.5157736016886587</v>
      </c>
      <c r="AK46" s="386">
        <f t="shared" si="23"/>
        <v>2.3485261634828603E-2</v>
      </c>
      <c r="AL46" s="386">
        <f t="shared" si="24"/>
        <v>5.7488094717986812E-2</v>
      </c>
      <c r="AM46">
        <f t="shared" si="25"/>
        <v>0</v>
      </c>
      <c r="AN46" s="386">
        <f t="shared" si="26"/>
        <v>8.1355487333908572E-2</v>
      </c>
      <c r="AO46" s="386">
        <f t="shared" si="27"/>
        <v>12.473868819337723</v>
      </c>
      <c r="AP46" s="386">
        <f t="shared" si="28"/>
        <v>0.29563506631188713</v>
      </c>
      <c r="AQ46" s="386">
        <f t="shared" si="29"/>
        <v>0.1385281385281385</v>
      </c>
      <c r="AR46" s="386">
        <f t="shared" si="30"/>
        <v>0.46144719952630436</v>
      </c>
      <c r="AS46" s="386">
        <f t="shared" si="31"/>
        <v>0</v>
      </c>
      <c r="AT46" s="386">
        <f t="shared" si="32"/>
        <v>0</v>
      </c>
      <c r="AU46" s="386">
        <f t="shared" si="33"/>
        <v>0.13991759999999998</v>
      </c>
      <c r="AV46" s="386">
        <f t="shared" si="34"/>
        <v>7.4636366174379881E-2</v>
      </c>
      <c r="AW46" s="386">
        <f t="shared" si="35"/>
        <v>0.59328000000000003</v>
      </c>
      <c r="AX46" s="386">
        <f t="shared" si="36"/>
        <v>3.6000000000000004E-2</v>
      </c>
      <c r="AY46" s="386">
        <f t="shared" si="37"/>
        <v>9.8999999999999977E-2</v>
      </c>
      <c r="AZ46" s="386">
        <f t="shared" si="38"/>
        <v>4.3499999999999997E-2</v>
      </c>
      <c r="BA46" s="386">
        <f t="shared" si="56"/>
        <v>0.13499999999999998</v>
      </c>
      <c r="BB46" s="386">
        <f t="shared" si="57"/>
        <v>3.4952570479445666</v>
      </c>
      <c r="BC46">
        <f t="shared" si="39"/>
        <v>144</v>
      </c>
      <c r="BD46" s="604">
        <f t="shared" si="50"/>
        <v>0.97630258004290671</v>
      </c>
      <c r="BE46" s="614">
        <f t="shared" si="40"/>
        <v>11.063654366695427</v>
      </c>
      <c r="BF46" s="614">
        <f t="shared" si="41"/>
        <v>23.072359976315219</v>
      </c>
      <c r="BG46" s="9"/>
      <c r="BH46" s="4">
        <f t="shared" si="51"/>
        <v>97.630258004290667</v>
      </c>
      <c r="BI46" s="386">
        <f t="shared" si="52"/>
        <v>0.62123814694075019</v>
      </c>
      <c r="BJ46" s="386">
        <f t="shared" si="53"/>
        <v>2.0478555155052112</v>
      </c>
      <c r="BK46" s="386">
        <f t="shared" si="54"/>
        <v>0.20320134233491943</v>
      </c>
      <c r="BL46" s="386">
        <f t="shared" si="55"/>
        <v>7.4636366174379881E-2</v>
      </c>
      <c r="BQ46">
        <v>9.9978999999999996</v>
      </c>
      <c r="BR46">
        <v>6.1950000000000003</v>
      </c>
      <c r="BS46">
        <v>5.109191</v>
      </c>
      <c r="BT46">
        <v>93.156651672159526</v>
      </c>
      <c r="BU46">
        <v>2325.1351758999972</v>
      </c>
    </row>
    <row r="47" spans="1:73" ht="15.75" x14ac:dyDescent="0.3">
      <c r="A47" s="488" t="s">
        <v>680</v>
      </c>
      <c r="B47" s="5">
        <f>ThetaJA_Q1</f>
        <v>50</v>
      </c>
      <c r="C47" s="483" t="s">
        <v>241</v>
      </c>
      <c r="D47" s="21" t="s">
        <v>107</v>
      </c>
      <c r="G47">
        <v>38</v>
      </c>
      <c r="H47" s="610">
        <f t="shared" si="0"/>
        <v>11.7</v>
      </c>
      <c r="I47" s="4" t="str">
        <f t="shared" si="1"/>
        <v>BUCK-BST</v>
      </c>
      <c r="J47">
        <f t="shared" si="43"/>
        <v>3</v>
      </c>
      <c r="K47">
        <f t="shared" si="2"/>
        <v>12</v>
      </c>
      <c r="L47" s="4">
        <f t="shared" si="3"/>
        <v>13.675213675213676</v>
      </c>
      <c r="M47" s="4">
        <f t="shared" si="4"/>
        <v>12.787212787212786</v>
      </c>
      <c r="N47" s="386">
        <f t="shared" si="5"/>
        <v>0.96250000000000002</v>
      </c>
      <c r="O47" s="386">
        <f t="shared" si="58"/>
        <v>6.1562499999999964E-2</v>
      </c>
      <c r="P47" s="4">
        <f t="shared" si="6"/>
        <v>1.2127555010001811</v>
      </c>
      <c r="Q47" s="386">
        <f t="shared" si="7"/>
        <v>12.792004359138772</v>
      </c>
      <c r="R47" s="386">
        <f t="shared" si="8"/>
        <v>0.57332109207513138</v>
      </c>
      <c r="S47" s="386">
        <f t="shared" si="45"/>
        <v>2.1903664105203832E-2</v>
      </c>
      <c r="T47" s="386">
        <f t="shared" si="46"/>
        <v>0.59522475618033521</v>
      </c>
      <c r="U47" s="4">
        <f t="shared" si="9"/>
        <v>3.074832323684269</v>
      </c>
      <c r="V47" s="386">
        <f t="shared" si="10"/>
        <v>1.8909187637547203E-2</v>
      </c>
      <c r="W47" s="386">
        <f t="shared" si="47"/>
        <v>1.8909187637547203E-2</v>
      </c>
      <c r="X47" s="386">
        <f t="shared" si="11"/>
        <v>0.35009235748182704</v>
      </c>
      <c r="Y47" s="386">
        <f t="shared" si="12"/>
        <v>2.4512931753436677E-4</v>
      </c>
      <c r="Z47" s="603">
        <f t="shared" si="48"/>
        <v>2.4512931753436677E-4</v>
      </c>
      <c r="AA47" s="386">
        <f t="shared" si="13"/>
        <v>12.549862506898908</v>
      </c>
      <c r="AB47" s="386">
        <f t="shared" si="14"/>
        <v>0.89774457896978155</v>
      </c>
      <c r="AC47" s="386">
        <f t="shared" si="15"/>
        <v>6.4002361275088515E-2</v>
      </c>
      <c r="AD47">
        <f t="shared" si="16"/>
        <v>0</v>
      </c>
      <c r="AE47" s="386">
        <f t="shared" si="17"/>
        <v>1.1722172823691974</v>
      </c>
      <c r="AF47" s="386">
        <f t="shared" si="18"/>
        <v>2.4771609923778568</v>
      </c>
      <c r="AG47" s="386">
        <f t="shared" si="19"/>
        <v>3.4977061518303154E-2</v>
      </c>
      <c r="AH47" s="386">
        <f t="shared" si="20"/>
        <v>0.12</v>
      </c>
      <c r="AI47" s="386">
        <f t="shared" si="21"/>
        <v>0.15606882731310714</v>
      </c>
      <c r="AJ47" s="386">
        <f t="shared" si="22"/>
        <v>3.1739254568609701</v>
      </c>
      <c r="AK47" s="386">
        <f t="shared" si="23"/>
        <v>1.9140225330849223E-2</v>
      </c>
      <c r="AL47" s="386">
        <f t="shared" si="24"/>
        <v>5.7488094717986812E-2</v>
      </c>
      <c r="AM47">
        <f t="shared" si="25"/>
        <v>0</v>
      </c>
      <c r="AN47" s="386">
        <f t="shared" si="26"/>
        <v>7.6922783932344294E-2</v>
      </c>
      <c r="AO47" s="386">
        <f t="shared" si="27"/>
        <v>12.39199631691824</v>
      </c>
      <c r="AP47" s="386">
        <f t="shared" si="28"/>
        <v>0.29176698816517888</v>
      </c>
      <c r="AQ47" s="386">
        <f t="shared" si="29"/>
        <v>0.13675213675213677</v>
      </c>
      <c r="AR47" s="386">
        <f t="shared" si="30"/>
        <v>0.45507425380197963</v>
      </c>
      <c r="AS47" s="386">
        <f t="shared" si="31"/>
        <v>0</v>
      </c>
      <c r="AT47" s="386">
        <f t="shared" si="32"/>
        <v>0</v>
      </c>
      <c r="AU47" s="386">
        <f t="shared" si="33"/>
        <v>0.14109885</v>
      </c>
      <c r="AV47" s="386">
        <f t="shared" si="34"/>
        <v>6.4840517551474269E-2</v>
      </c>
      <c r="AW47" s="386">
        <f t="shared" si="35"/>
        <v>0.59328000000000003</v>
      </c>
      <c r="AX47" s="386">
        <f t="shared" si="36"/>
        <v>3.6000000000000004E-2</v>
      </c>
      <c r="AY47" s="386">
        <f t="shared" si="37"/>
        <v>9.8999999999999977E-2</v>
      </c>
      <c r="AZ47" s="386">
        <f t="shared" si="38"/>
        <v>4.3499999999999997E-2</v>
      </c>
      <c r="BA47" s="386">
        <f t="shared" si="56"/>
        <v>0.13499999999999998</v>
      </c>
      <c r="BB47" s="386">
        <f t="shared" si="57"/>
        <v>3.4088815881035197</v>
      </c>
      <c r="BC47">
        <f t="shared" si="39"/>
        <v>144</v>
      </c>
      <c r="BD47" s="604">
        <f t="shared" si="50"/>
        <v>0.97687465265743778</v>
      </c>
      <c r="BE47" s="614">
        <f t="shared" si="40"/>
        <v>10.901081696617215</v>
      </c>
      <c r="BF47" s="614">
        <f t="shared" si="41"/>
        <v>22.753712690098983</v>
      </c>
      <c r="BG47" s="9"/>
      <c r="BH47" s="4">
        <f t="shared" si="51"/>
        <v>97.687465265743782</v>
      </c>
      <c r="BI47" s="386">
        <f t="shared" si="52"/>
        <v>0.59522475618033521</v>
      </c>
      <c r="BJ47" s="386">
        <f t="shared" si="53"/>
        <v>2.0013819974166287</v>
      </c>
      <c r="BK47" s="386">
        <f t="shared" si="54"/>
        <v>0.20263144781310716</v>
      </c>
      <c r="BL47" s="386">
        <f t="shared" si="55"/>
        <v>6.4840517551474269E-2</v>
      </c>
      <c r="BQ47">
        <v>9.9976269999999996</v>
      </c>
      <c r="BR47">
        <v>6.9470000000000001</v>
      </c>
      <c r="BS47">
        <v>5.1086669999999996</v>
      </c>
      <c r="BT47">
        <v>92.656807634751772</v>
      </c>
      <c r="BU47">
        <v>2812.6290012010018</v>
      </c>
    </row>
    <row r="48" spans="1:73" x14ac:dyDescent="0.2">
      <c r="A48" s="24" t="s">
        <v>767</v>
      </c>
      <c r="B48" s="15" t="s">
        <v>115</v>
      </c>
      <c r="C48" s="24" t="s">
        <v>80</v>
      </c>
      <c r="D48" s="17" t="s">
        <v>111</v>
      </c>
      <c r="G48">
        <v>39</v>
      </c>
      <c r="H48" s="610">
        <f t="shared" si="0"/>
        <v>11.850000000000001</v>
      </c>
      <c r="I48" s="4" t="str">
        <f t="shared" si="1"/>
        <v>BUCK-BST</v>
      </c>
      <c r="J48">
        <f t="shared" si="43"/>
        <v>3</v>
      </c>
      <c r="K48">
        <f t="shared" si="2"/>
        <v>12</v>
      </c>
      <c r="L48" s="4">
        <f t="shared" si="3"/>
        <v>13.502109704641349</v>
      </c>
      <c r="M48" s="4">
        <f t="shared" si="4"/>
        <v>12.625349334210091</v>
      </c>
      <c r="N48" s="386">
        <f t="shared" si="5"/>
        <v>0.96250000000000002</v>
      </c>
      <c r="O48" s="386">
        <f t="shared" si="58"/>
        <v>4.9531249999999805E-2</v>
      </c>
      <c r="P48" s="4">
        <f t="shared" si="6"/>
        <v>0.98852618053684871</v>
      </c>
      <c r="Q48" s="386">
        <f t="shared" si="7"/>
        <v>12.628573862936374</v>
      </c>
      <c r="R48" s="386">
        <f t="shared" si="8"/>
        <v>0.55811527606016431</v>
      </c>
      <c r="S48" s="386">
        <f t="shared" si="45"/>
        <v>1.3675901134790025E-2</v>
      </c>
      <c r="T48" s="386">
        <f t="shared" si="46"/>
        <v>0.57179117719495431</v>
      </c>
      <c r="U48" s="4">
        <f t="shared" si="9"/>
        <v>2.7401524831922695</v>
      </c>
      <c r="V48" s="386">
        <f t="shared" si="10"/>
        <v>1.5016871262289523E-2</v>
      </c>
      <c r="W48" s="386">
        <f t="shared" si="47"/>
        <v>1.5016871262289523E-2</v>
      </c>
      <c r="X48" s="386">
        <f t="shared" si="11"/>
        <v>0.28536292821697112</v>
      </c>
      <c r="Y48" s="386">
        <f t="shared" si="12"/>
        <v>1.6286400160112844E-4</v>
      </c>
      <c r="Z48" s="603">
        <f t="shared" si="48"/>
        <v>1.6286400160112844E-4</v>
      </c>
      <c r="AA48" s="386">
        <f t="shared" si="13"/>
        <v>12.389525612133149</v>
      </c>
      <c r="AB48" s="386">
        <f t="shared" si="14"/>
        <v>0.87495196589410873</v>
      </c>
      <c r="AC48" s="386">
        <f t="shared" si="15"/>
        <v>6.4002361275088529E-2</v>
      </c>
      <c r="AD48">
        <f t="shared" si="16"/>
        <v>0</v>
      </c>
      <c r="AE48" s="386">
        <f t="shared" si="17"/>
        <v>1.1381132042656523</v>
      </c>
      <c r="AF48" s="386">
        <f t="shared" si="18"/>
        <v>2.4455128128751418</v>
      </c>
      <c r="AG48" s="386">
        <f t="shared" si="19"/>
        <v>3.408903763223798E-2</v>
      </c>
      <c r="AH48" s="386">
        <f t="shared" si="20"/>
        <v>0.12</v>
      </c>
      <c r="AI48" s="386">
        <f t="shared" si="21"/>
        <v>0.15514679864373548</v>
      </c>
      <c r="AJ48" s="386">
        <f t="shared" si="22"/>
        <v>2.8105670653993919</v>
      </c>
      <c r="AK48" s="386">
        <f t="shared" si="23"/>
        <v>1.5008645735304724E-2</v>
      </c>
      <c r="AL48" s="386">
        <f t="shared" si="24"/>
        <v>5.7488094717986812E-2</v>
      </c>
      <c r="AM48">
        <f t="shared" si="25"/>
        <v>0</v>
      </c>
      <c r="AN48" s="386">
        <f t="shared" si="26"/>
        <v>7.2715011221905199E-2</v>
      </c>
      <c r="AO48" s="386">
        <f t="shared" si="27"/>
        <v>12.311847569822005</v>
      </c>
      <c r="AP48" s="386">
        <f t="shared" si="28"/>
        <v>0.28800502210681084</v>
      </c>
      <c r="AQ48" s="386">
        <f t="shared" si="29"/>
        <v>0.13502109704641349</v>
      </c>
      <c r="AR48" s="386">
        <f t="shared" si="30"/>
        <v>0.44888218380738415</v>
      </c>
      <c r="AS48" s="386">
        <f t="shared" si="31"/>
        <v>0</v>
      </c>
      <c r="AT48" s="386">
        <f t="shared" si="32"/>
        <v>0</v>
      </c>
      <c r="AU48" s="386">
        <f t="shared" si="33"/>
        <v>0.14228009999999999</v>
      </c>
      <c r="AV48" s="386">
        <f t="shared" si="34"/>
        <v>5.5519280588176956E-2</v>
      </c>
      <c r="AW48" s="386">
        <f t="shared" si="35"/>
        <v>0.59328000000000003</v>
      </c>
      <c r="AX48" s="386">
        <f t="shared" si="36"/>
        <v>3.6000000000000004E-2</v>
      </c>
      <c r="AY48" s="386">
        <f t="shared" si="37"/>
        <v>9.8999999999999977E-2</v>
      </c>
      <c r="AZ48" s="386">
        <f t="shared" si="38"/>
        <v>4.3499999999999997E-2</v>
      </c>
      <c r="BA48" s="386">
        <f t="shared" si="56"/>
        <v>0.13499999999999998</v>
      </c>
      <c r="BB48" s="386">
        <f t="shared" si="57"/>
        <v>3.3279074909856989</v>
      </c>
      <c r="BC48">
        <f t="shared" si="39"/>
        <v>144</v>
      </c>
      <c r="BD48" s="604">
        <f t="shared" si="50"/>
        <v>0.97741156073102231</v>
      </c>
      <c r="BE48" s="614">
        <f t="shared" si="40"/>
        <v>10.74975556109526</v>
      </c>
      <c r="BF48" s="614">
        <f t="shared" si="41"/>
        <v>22.444109190369208</v>
      </c>
      <c r="BG48" s="9"/>
      <c r="BH48" s="4">
        <f t="shared" si="51"/>
        <v>97.741156073102232</v>
      </c>
      <c r="BI48" s="386">
        <f t="shared" si="52"/>
        <v>0.57179117719495431</v>
      </c>
      <c r="BJ48" s="386">
        <f t="shared" si="53"/>
        <v>1.9571372979386774</v>
      </c>
      <c r="BK48" s="386">
        <f t="shared" si="54"/>
        <v>0.2020992316437355</v>
      </c>
      <c r="BL48" s="386">
        <f t="shared" si="55"/>
        <v>5.5519280588176956E-2</v>
      </c>
      <c r="BQ48">
        <v>9.9975280000000009</v>
      </c>
      <c r="BR48">
        <v>7.7530000000000001</v>
      </c>
      <c r="BS48">
        <v>5.10853</v>
      </c>
      <c r="BT48">
        <v>92.034336419785248</v>
      </c>
      <c r="BU48">
        <v>3427.976173640001</v>
      </c>
    </row>
    <row r="49" spans="1:73" x14ac:dyDescent="0.2">
      <c r="A49" s="23" t="s">
        <v>72</v>
      </c>
      <c r="B49" s="5">
        <f>Rdson2*1000</f>
        <v>5.7</v>
      </c>
      <c r="C49" s="484" t="s">
        <v>674</v>
      </c>
      <c r="D49" s="482" t="s">
        <v>768</v>
      </c>
      <c r="G49">
        <v>40</v>
      </c>
      <c r="H49" s="610">
        <f t="shared" si="0"/>
        <v>12</v>
      </c>
      <c r="I49" s="4" t="str">
        <f t="shared" si="1"/>
        <v>BUCK-BST</v>
      </c>
      <c r="J49">
        <f t="shared" si="43"/>
        <v>3</v>
      </c>
      <c r="K49">
        <f t="shared" si="2"/>
        <v>12</v>
      </c>
      <c r="L49" s="4">
        <f t="shared" si="3"/>
        <v>13.333333333333332</v>
      </c>
      <c r="M49" s="4">
        <f t="shared" si="4"/>
        <v>12.467532467532468</v>
      </c>
      <c r="N49" s="386">
        <f t="shared" si="5"/>
        <v>0.96250000000000002</v>
      </c>
      <c r="O49" s="386">
        <f t="shared" si="58"/>
        <v>3.7499999999999943E-2</v>
      </c>
      <c r="P49" s="4">
        <f t="shared" si="6"/>
        <v>0</v>
      </c>
      <c r="Q49" s="386">
        <f t="shared" si="7"/>
        <v>12.467532467532468</v>
      </c>
      <c r="R49" s="386">
        <f t="shared" si="8"/>
        <v>0.54335690151402738</v>
      </c>
      <c r="S49" s="386">
        <f t="shared" si="45"/>
        <v>0</v>
      </c>
      <c r="T49" s="386">
        <f t="shared" si="46"/>
        <v>0.54335690151402738</v>
      </c>
      <c r="U49" s="4">
        <f t="shared" si="9"/>
        <v>2.3686261018551664</v>
      </c>
      <c r="V49" s="386">
        <f t="shared" si="10"/>
        <v>1.1220779220779204E-2</v>
      </c>
      <c r="W49" s="386">
        <f t="shared" si="47"/>
        <v>1.1220779220779204E-2</v>
      </c>
      <c r="X49" s="386">
        <f t="shared" si="11"/>
        <v>0</v>
      </c>
      <c r="Y49" s="386">
        <f t="shared" si="12"/>
        <v>0</v>
      </c>
      <c r="Z49" s="603">
        <f t="shared" si="48"/>
        <v>0</v>
      </c>
      <c r="AA49" s="386">
        <f t="shared" si="13"/>
        <v>12.231532594503015</v>
      </c>
      <c r="AB49" s="386">
        <f t="shared" si="14"/>
        <v>0.85277922077922108</v>
      </c>
      <c r="AC49" s="386">
        <f t="shared" si="15"/>
        <v>6.4002361275088543E-2</v>
      </c>
      <c r="AD49">
        <f t="shared" si="16"/>
        <v>0</v>
      </c>
      <c r="AE49" s="386">
        <f t="shared" si="17"/>
        <v>1.1052963307954919</v>
      </c>
      <c r="AF49" s="386">
        <f t="shared" si="18"/>
        <v>2.414327280752675</v>
      </c>
      <c r="AG49" s="386">
        <f t="shared" si="19"/>
        <v>3.3225164445943652E-2</v>
      </c>
      <c r="AH49" s="386">
        <f t="shared" si="20"/>
        <v>0.12</v>
      </c>
      <c r="AI49" s="386">
        <f t="shared" si="21"/>
        <v>0.15425016184456344</v>
      </c>
      <c r="AJ49" s="386">
        <f t="shared" si="22"/>
        <v>2.4143272807526737</v>
      </c>
      <c r="AK49" s="386">
        <f t="shared" si="23"/>
        <v>1.1075054815314539E-2</v>
      </c>
      <c r="AL49" s="386">
        <f t="shared" si="24"/>
        <v>5.7488094717986812E-2</v>
      </c>
      <c r="AM49">
        <f t="shared" si="25"/>
        <v>0</v>
      </c>
      <c r="AN49" s="386">
        <f t="shared" si="26"/>
        <v>6.8715354797508593E-2</v>
      </c>
      <c r="AO49" s="386">
        <f t="shared" si="27"/>
        <v>12.231532594503015</v>
      </c>
      <c r="AP49" s="386">
        <f t="shared" si="28"/>
        <v>0.28425974025974038</v>
      </c>
      <c r="AQ49" s="386">
        <f t="shared" si="29"/>
        <v>0.13333333333333333</v>
      </c>
      <c r="AR49" s="386">
        <f t="shared" si="30"/>
        <v>0.44276513398988021</v>
      </c>
      <c r="AS49" s="386">
        <f t="shared" si="31"/>
        <v>0</v>
      </c>
      <c r="AT49" s="386">
        <f t="shared" si="32"/>
        <v>0</v>
      </c>
      <c r="AU49" s="386">
        <f t="shared" si="33"/>
        <v>0.14346134999999999</v>
      </c>
      <c r="AV49" s="386">
        <f t="shared" si="34"/>
        <v>4.6631809748692819E-2</v>
      </c>
      <c r="AW49" s="386">
        <f t="shared" si="35"/>
        <v>0.59328000000000003</v>
      </c>
      <c r="AX49" s="386">
        <f t="shared" si="36"/>
        <v>3.6000000000000004E-2</v>
      </c>
      <c r="AY49" s="386">
        <f t="shared" si="37"/>
        <v>9.8999999999999977E-2</v>
      </c>
      <c r="AZ49" s="386">
        <f t="shared" si="38"/>
        <v>4.3499999999999997E-2</v>
      </c>
      <c r="BA49" s="386">
        <f t="shared" si="56"/>
        <v>0.13499999999999998</v>
      </c>
      <c r="BB49" s="386">
        <f t="shared" si="57"/>
        <v>3.2439778219109434</v>
      </c>
      <c r="BC49">
        <f t="shared" si="39"/>
        <v>144</v>
      </c>
      <c r="BD49" s="604">
        <f t="shared" si="50"/>
        <v>0.97796868931485625</v>
      </c>
      <c r="BE49" s="614">
        <f t="shared" si="40"/>
        <v>10.608835239875429</v>
      </c>
      <c r="BF49" s="614">
        <f t="shared" si="41"/>
        <v>22.138256699494011</v>
      </c>
      <c r="BG49" s="9"/>
      <c r="BH49" s="4">
        <f t="shared" si="51"/>
        <v>97.796868931485619</v>
      </c>
      <c r="BI49" s="386">
        <f t="shared" si="52"/>
        <v>0.54335690151402738</v>
      </c>
      <c r="BJ49" s="386">
        <f t="shared" si="53"/>
        <v>1.9144883314274441</v>
      </c>
      <c r="BK49" s="386">
        <f t="shared" si="54"/>
        <v>0.20159240734456343</v>
      </c>
      <c r="BL49" s="386">
        <f t="shared" si="55"/>
        <v>4.6631809748692819E-2</v>
      </c>
      <c r="BQ49">
        <v>9.9970090000000003</v>
      </c>
      <c r="BR49">
        <v>8.6120000000000001</v>
      </c>
      <c r="BS49">
        <v>5.1085419999999999</v>
      </c>
      <c r="BT49">
        <v>91.346378256658895</v>
      </c>
      <c r="BU49">
        <v>4167.8065612820019</v>
      </c>
    </row>
    <row r="50" spans="1:73" x14ac:dyDescent="0.2">
      <c r="A50" s="23" t="s">
        <v>84</v>
      </c>
      <c r="B50" s="5">
        <f>RdsonBotTc*1000000</f>
        <v>4000</v>
      </c>
      <c r="C50" s="482" t="s">
        <v>85</v>
      </c>
      <c r="D50" s="21" t="s">
        <v>108</v>
      </c>
      <c r="G50">
        <v>41</v>
      </c>
      <c r="H50" s="610">
        <f t="shared" si="0"/>
        <v>12.149999999999999</v>
      </c>
      <c r="I50" s="4" t="str">
        <f t="shared" si="1"/>
        <v>BUCK-BST</v>
      </c>
      <c r="J50">
        <f t="shared" si="43"/>
        <v>3</v>
      </c>
      <c r="K50">
        <f t="shared" si="2"/>
        <v>12</v>
      </c>
      <c r="L50" s="4">
        <f t="shared" si="3"/>
        <v>13.168724279835393</v>
      </c>
      <c r="M50" s="4">
        <f t="shared" si="4"/>
        <v>12.467532467532468</v>
      </c>
      <c r="N50" s="386">
        <f t="shared" si="5"/>
        <v>0.95061728395061751</v>
      </c>
      <c r="O50" s="386">
        <f t="shared" si="58"/>
        <v>3.7499999999999999E-2</v>
      </c>
      <c r="P50" s="4">
        <f t="shared" si="6"/>
        <v>6.698817966902984E-2</v>
      </c>
      <c r="Q50" s="386">
        <f t="shared" si="7"/>
        <v>12.467547464530766</v>
      </c>
      <c r="R50" s="386">
        <f t="shared" si="8"/>
        <v>0.54335826552759181</v>
      </c>
      <c r="S50" s="386">
        <f t="shared" si="45"/>
        <v>2.7707860600457896E-5</v>
      </c>
      <c r="T50" s="386">
        <f t="shared" si="46"/>
        <v>0.54338597338819228</v>
      </c>
      <c r="U50" s="4">
        <f t="shared" si="9"/>
        <v>1.9337821782218698E-2</v>
      </c>
      <c r="V50" s="386">
        <f t="shared" si="10"/>
        <v>7.4790270256170389E-7</v>
      </c>
      <c r="W50" s="386">
        <f t="shared" si="47"/>
        <v>7.4790270256170389E-7</v>
      </c>
      <c r="X50" s="386">
        <f t="shared" si="11"/>
        <v>2.599992824049985</v>
      </c>
      <c r="Y50" s="386">
        <f t="shared" si="12"/>
        <v>1.3519925370222834E-2</v>
      </c>
      <c r="Z50" s="603">
        <f t="shared" si="48"/>
        <v>1.3519925370222834E-2</v>
      </c>
      <c r="AA50" s="386">
        <f t="shared" si="13"/>
        <v>12.155809444375381</v>
      </c>
      <c r="AB50" s="386">
        <f t="shared" si="14"/>
        <v>0.84225310851340451</v>
      </c>
      <c r="AC50" s="386">
        <f t="shared" si="15"/>
        <v>6.4802390791027148E-2</v>
      </c>
      <c r="AD50">
        <f t="shared" si="16"/>
        <v>0</v>
      </c>
      <c r="AE50" s="386">
        <f t="shared" si="17"/>
        <v>1.0908017286498595</v>
      </c>
      <c r="AF50" s="386">
        <f t="shared" si="18"/>
        <v>2.7705661032290525</v>
      </c>
      <c r="AG50" s="386">
        <f t="shared" si="19"/>
        <v>4.375340823446236E-2</v>
      </c>
      <c r="AH50" s="386">
        <f t="shared" si="20"/>
        <v>0.12</v>
      </c>
      <c r="AI50" s="386">
        <f t="shared" si="21"/>
        <v>0.16519901219859337</v>
      </c>
      <c r="AJ50" s="386">
        <f t="shared" si="22"/>
        <v>2.4143301849089083</v>
      </c>
      <c r="AK50" s="386">
        <f t="shared" si="23"/>
        <v>1.1075081459348338E-2</v>
      </c>
      <c r="AL50" s="386">
        <f t="shared" si="24"/>
        <v>5.7488094717986812E-2</v>
      </c>
      <c r="AM50">
        <f t="shared" si="25"/>
        <v>0</v>
      </c>
      <c r="AN50" s="386">
        <f t="shared" si="26"/>
        <v>6.8715381867674091E-2</v>
      </c>
      <c r="AO50" s="386">
        <f t="shared" si="27"/>
        <v>12.231547307620785</v>
      </c>
      <c r="AP50" s="386">
        <f t="shared" si="28"/>
        <v>0.28426042412327401</v>
      </c>
      <c r="AQ50" s="386">
        <f t="shared" si="29"/>
        <v>0.13168724279835392</v>
      </c>
      <c r="AR50" s="386">
        <f t="shared" si="30"/>
        <v>0.44102060793327108</v>
      </c>
      <c r="AS50" s="386">
        <f t="shared" si="31"/>
        <v>0</v>
      </c>
      <c r="AT50" s="386">
        <f t="shared" si="32"/>
        <v>0</v>
      </c>
      <c r="AU50" s="386">
        <f t="shared" si="33"/>
        <v>0.14464259999999995</v>
      </c>
      <c r="AV50" s="386">
        <f t="shared" si="34"/>
        <v>5.4020107096496406E-2</v>
      </c>
      <c r="AW50" s="386">
        <f t="shared" si="35"/>
        <v>0.59328000000000003</v>
      </c>
      <c r="AX50" s="386">
        <f t="shared" si="36"/>
        <v>3.6000000000000004E-2</v>
      </c>
      <c r="AY50" s="386">
        <f t="shared" si="37"/>
        <v>9.8999999999999977E-2</v>
      </c>
      <c r="AZ50" s="386">
        <f t="shared" si="38"/>
        <v>4.3499999999999997E-2</v>
      </c>
      <c r="BA50" s="386">
        <f t="shared" si="56"/>
        <v>0.13499999999999998</v>
      </c>
      <c r="BB50" s="386">
        <f t="shared" si="57"/>
        <v>3.2495860844070119</v>
      </c>
      <c r="BC50">
        <f t="shared" si="39"/>
        <v>144</v>
      </c>
      <c r="BD50" s="604">
        <f t="shared" si="50"/>
        <v>0.97793144163716517</v>
      </c>
      <c r="BE50" s="614">
        <f t="shared" si="40"/>
        <v>61.772216432492975</v>
      </c>
      <c r="BF50" s="614">
        <f t="shared" si="41"/>
        <v>8.2599506099296693</v>
      </c>
      <c r="BG50" s="9"/>
      <c r="BH50" s="4">
        <f t="shared" si="51"/>
        <v>97.793144163716519</v>
      </c>
      <c r="BI50" s="386">
        <f t="shared" si="52"/>
        <v>0.54338597338819228</v>
      </c>
      <c r="BJ50" s="386">
        <f t="shared" si="53"/>
        <v>1.9103793306493979</v>
      </c>
      <c r="BK50" s="386">
        <f t="shared" si="54"/>
        <v>0.21293107019859336</v>
      </c>
      <c r="BL50" s="386">
        <f t="shared" si="55"/>
        <v>5.4020107096496406E-2</v>
      </c>
      <c r="BQ50">
        <v>9.9969590000000004</v>
      </c>
      <c r="BR50">
        <v>9.5229999999999997</v>
      </c>
      <c r="BS50">
        <v>5.1087540000000002</v>
      </c>
      <c r="BT50">
        <v>90.547826191651922</v>
      </c>
      <c r="BU50">
        <v>5078.5816240809982</v>
      </c>
    </row>
    <row r="51" spans="1:73" x14ac:dyDescent="0.2">
      <c r="A51" s="23" t="s">
        <v>71</v>
      </c>
      <c r="B51" s="5">
        <f>Qg_Q2*1000000000</f>
        <v>11</v>
      </c>
      <c r="C51" s="482" t="s">
        <v>69</v>
      </c>
      <c r="D51" s="21" t="s">
        <v>103</v>
      </c>
      <c r="G51">
        <v>42</v>
      </c>
      <c r="H51" s="610">
        <f t="shared" si="0"/>
        <v>12.3</v>
      </c>
      <c r="I51" s="4" t="str">
        <f t="shared" si="1"/>
        <v>BUCK-BST</v>
      </c>
      <c r="J51">
        <f t="shared" si="43"/>
        <v>3</v>
      </c>
      <c r="K51">
        <f t="shared" si="2"/>
        <v>12</v>
      </c>
      <c r="L51" s="4">
        <f t="shared" si="3"/>
        <v>13.008130081300813</v>
      </c>
      <c r="M51" s="4">
        <f t="shared" si="4"/>
        <v>12.467532467532468</v>
      </c>
      <c r="N51" s="386">
        <f t="shared" si="5"/>
        <v>0.93902439024390238</v>
      </c>
      <c r="O51" s="386">
        <f t="shared" si="58"/>
        <v>3.7499999999999999E-2</v>
      </c>
      <c r="P51" s="4">
        <f t="shared" si="6"/>
        <v>0.30592215879605855</v>
      </c>
      <c r="Q51" s="386">
        <f t="shared" si="7"/>
        <v>12.467845237232446</v>
      </c>
      <c r="R51" s="386">
        <f t="shared" si="8"/>
        <v>0.54338534907969216</v>
      </c>
      <c r="S51" s="386">
        <f t="shared" si="45"/>
        <v>9.1696084288427039E-4</v>
      </c>
      <c r="T51" s="386">
        <f t="shared" si="46"/>
        <v>0.54430230992257644</v>
      </c>
      <c r="U51" s="4">
        <f t="shared" si="9"/>
        <v>8.8312120365987928E-2</v>
      </c>
      <c r="V51" s="386">
        <f t="shared" si="10"/>
        <v>1.5598061207073479E-5</v>
      </c>
      <c r="W51" s="386">
        <f t="shared" si="47"/>
        <v>1.5598061207073479E-5</v>
      </c>
      <c r="X51" s="386">
        <f t="shared" si="11"/>
        <v>2.8715046161682469</v>
      </c>
      <c r="Y51" s="386">
        <f t="shared" si="12"/>
        <v>1.6491077521351101E-2</v>
      </c>
      <c r="Z51" s="603">
        <f t="shared" si="48"/>
        <v>1.6491077521351101E-2</v>
      </c>
      <c r="AA51" s="386">
        <f t="shared" si="13"/>
        <v>12.081749840044292</v>
      </c>
      <c r="AB51" s="386">
        <f t="shared" si="14"/>
        <v>0.83202147142523852</v>
      </c>
      <c r="AC51" s="386">
        <f t="shared" si="15"/>
        <v>6.5602420306965767E-2</v>
      </c>
      <c r="AD51">
        <f t="shared" si="16"/>
        <v>0</v>
      </c>
      <c r="AE51" s="386">
        <f t="shared" si="17"/>
        <v>1.0768096399469054</v>
      </c>
      <c r="AF51" s="386">
        <f t="shared" si="18"/>
        <v>3.0787149368152789</v>
      </c>
      <c r="AG51" s="386">
        <f t="shared" si="19"/>
        <v>5.4027368274366189E-2</v>
      </c>
      <c r="AH51" s="386">
        <f t="shared" si="20"/>
        <v>0.12</v>
      </c>
      <c r="AI51" s="386">
        <f t="shared" si="21"/>
        <v>0.17592835750654831</v>
      </c>
      <c r="AJ51" s="386">
        <f t="shared" si="22"/>
        <v>2.4143878483446364</v>
      </c>
      <c r="AK51" s="386">
        <f t="shared" si="23"/>
        <v>1.1075610496245062E-2</v>
      </c>
      <c r="AL51" s="386">
        <f t="shared" si="24"/>
        <v>5.7488094717986812E-2</v>
      </c>
      <c r="AM51">
        <f t="shared" si="25"/>
        <v>0</v>
      </c>
      <c r="AN51" s="386">
        <f t="shared" si="26"/>
        <v>6.8715919365789246E-2</v>
      </c>
      <c r="AO51" s="386">
        <f t="shared" si="27"/>
        <v>12.231839443736398</v>
      </c>
      <c r="AP51" s="386">
        <f t="shared" si="28"/>
        <v>0.28427400273695658</v>
      </c>
      <c r="AQ51" s="386">
        <f t="shared" si="29"/>
        <v>0.13008130081300812</v>
      </c>
      <c r="AR51" s="386">
        <f t="shared" si="30"/>
        <v>0.43933352339645271</v>
      </c>
      <c r="AS51" s="386">
        <f t="shared" si="31"/>
        <v>0</v>
      </c>
      <c r="AT51" s="386">
        <f t="shared" si="32"/>
        <v>0</v>
      </c>
      <c r="AU51" s="386">
        <f t="shared" si="33"/>
        <v>0.14582384999999998</v>
      </c>
      <c r="AV51" s="386">
        <f t="shared" si="34"/>
        <v>6.1231017377615E-2</v>
      </c>
      <c r="AW51" s="386">
        <f t="shared" si="35"/>
        <v>0.59328000000000003</v>
      </c>
      <c r="AX51" s="386">
        <f t="shared" si="36"/>
        <v>3.6000000000000004E-2</v>
      </c>
      <c r="AY51" s="386">
        <f t="shared" si="37"/>
        <v>9.8999999999999977E-2</v>
      </c>
      <c r="AZ51" s="386">
        <f t="shared" si="38"/>
        <v>4.3499999999999997E-2</v>
      </c>
      <c r="BA51" s="386">
        <f t="shared" si="56"/>
        <v>0.13499999999999998</v>
      </c>
      <c r="BB51" s="386">
        <f t="shared" si="57"/>
        <v>3.2569312930984458</v>
      </c>
      <c r="BC51">
        <f t="shared" si="39"/>
        <v>144</v>
      </c>
      <c r="BD51" s="604">
        <f t="shared" si="50"/>
        <v>0.97788266219797915</v>
      </c>
      <c r="BE51" s="614">
        <f t="shared" si="40"/>
        <v>61.131674497345266</v>
      </c>
      <c r="BF51" s="614">
        <f t="shared" si="41"/>
        <v>8.7964178753274158</v>
      </c>
      <c r="BG51" s="9"/>
      <c r="BH51" s="4">
        <f t="shared" si="51"/>
        <v>97.788266219797919</v>
      </c>
      <c r="BI51" s="386">
        <f t="shared" si="52"/>
        <v>0.54430230992257644</v>
      </c>
      <c r="BJ51" s="386">
        <f t="shared" si="53"/>
        <v>1.9066112902156955</v>
      </c>
      <c r="BK51" s="386">
        <f t="shared" si="54"/>
        <v>0.22405022800654831</v>
      </c>
      <c r="BL51" s="386">
        <f t="shared" si="55"/>
        <v>6.1231017377615E-2</v>
      </c>
      <c r="BQ51">
        <v>9.9964639999999996</v>
      </c>
      <c r="BR51">
        <v>10.493</v>
      </c>
      <c r="BS51">
        <v>5.1092279999999999</v>
      </c>
      <c r="BT51">
        <v>89.626660259106615</v>
      </c>
      <c r="BU51">
        <v>6204.9221585439973</v>
      </c>
    </row>
    <row r="52" spans="1:73" x14ac:dyDescent="0.2">
      <c r="A52" s="23" t="s">
        <v>95</v>
      </c>
      <c r="B52" s="5">
        <f>Rgate2</f>
        <v>1.5</v>
      </c>
      <c r="C52" s="486" t="s">
        <v>120</v>
      </c>
      <c r="D52" s="21" t="s">
        <v>104</v>
      </c>
      <c r="G52">
        <v>43</v>
      </c>
      <c r="H52" s="610">
        <f t="shared" si="0"/>
        <v>12.45</v>
      </c>
      <c r="I52" s="4" t="str">
        <f t="shared" si="1"/>
        <v>BUCK-BST</v>
      </c>
      <c r="J52">
        <f t="shared" si="43"/>
        <v>3</v>
      </c>
      <c r="K52">
        <f t="shared" si="2"/>
        <v>12</v>
      </c>
      <c r="L52" s="4">
        <f t="shared" si="3"/>
        <v>12.85140562248996</v>
      </c>
      <c r="M52" s="4">
        <f t="shared" si="4"/>
        <v>12.467532467532468</v>
      </c>
      <c r="N52" s="386">
        <f t="shared" si="5"/>
        <v>0.92771084337349408</v>
      </c>
      <c r="O52" s="386">
        <f t="shared" si="58"/>
        <v>3.7499999999999999E-2</v>
      </c>
      <c r="P52" s="4">
        <f t="shared" si="6"/>
        <v>0.53909869264291232</v>
      </c>
      <c r="Q52" s="386">
        <f t="shared" si="7"/>
        <v>12.468503710510349</v>
      </c>
      <c r="R52" s="386">
        <f t="shared" si="8"/>
        <v>0.54344524240792846</v>
      </c>
      <c r="S52" s="386">
        <f t="shared" si="45"/>
        <v>3.3827266848800745E-3</v>
      </c>
      <c r="T52" s="386">
        <f t="shared" si="46"/>
        <v>0.54682796909280851</v>
      </c>
      <c r="U52" s="4">
        <f t="shared" si="9"/>
        <v>0.15562438765858039</v>
      </c>
      <c r="V52" s="386">
        <f t="shared" si="10"/>
        <v>4.8437900068216218E-5</v>
      </c>
      <c r="W52" s="386">
        <f t="shared" si="47"/>
        <v>4.8437900068216218E-5</v>
      </c>
      <c r="X52" s="386">
        <f t="shared" si="11"/>
        <v>3.107854367294915</v>
      </c>
      <c r="Y52" s="386">
        <f t="shared" si="12"/>
        <v>1.9317517536628151E-2</v>
      </c>
      <c r="Z52" s="603">
        <f t="shared" si="48"/>
        <v>1.9317517536628151E-2</v>
      </c>
      <c r="AA52" s="386">
        <f t="shared" si="13"/>
        <v>12.009381888723597</v>
      </c>
      <c r="AB52" s="386">
        <f t="shared" si="14"/>
        <v>0.82208394409045338</v>
      </c>
      <c r="AC52" s="386">
        <f t="shared" si="15"/>
        <v>6.6402449822904358E-2</v>
      </c>
      <c r="AD52">
        <f t="shared" si="16"/>
        <v>0</v>
      </c>
      <c r="AE52" s="386">
        <f t="shared" si="17"/>
        <v>1.0633128837720642</v>
      </c>
      <c r="AF52" s="386">
        <f t="shared" si="18"/>
        <v>3.3523620672307999</v>
      </c>
      <c r="AG52" s="386">
        <f t="shared" si="19"/>
        <v>6.405848914990539E-2</v>
      </c>
      <c r="AH52" s="386">
        <f t="shared" si="20"/>
        <v>0.12</v>
      </c>
      <c r="AI52" s="386">
        <f t="shared" si="21"/>
        <v>0.18644719426406436</v>
      </c>
      <c r="AJ52" s="386">
        <f t="shared" si="22"/>
        <v>2.4145153611465986</v>
      </c>
      <c r="AK52" s="386">
        <f t="shared" si="23"/>
        <v>1.107678041550449E-2</v>
      </c>
      <c r="AL52" s="386">
        <f t="shared" si="24"/>
        <v>5.7488094717986812E-2</v>
      </c>
      <c r="AM52">
        <f t="shared" si="25"/>
        <v>0</v>
      </c>
      <c r="AN52" s="386">
        <f t="shared" si="26"/>
        <v>6.8717107996704899E-2</v>
      </c>
      <c r="AO52" s="386">
        <f t="shared" si="27"/>
        <v>12.232485452670584</v>
      </c>
      <c r="AP52" s="386">
        <f t="shared" si="28"/>
        <v>0.28430403066461518</v>
      </c>
      <c r="AQ52" s="386">
        <f t="shared" si="29"/>
        <v>0.12851405622489959</v>
      </c>
      <c r="AR52" s="386">
        <f t="shared" si="30"/>
        <v>0.43770642718904545</v>
      </c>
      <c r="AS52" s="386">
        <f t="shared" si="31"/>
        <v>0</v>
      </c>
      <c r="AT52" s="386">
        <f t="shared" si="32"/>
        <v>0</v>
      </c>
      <c r="AU52" s="386">
        <f t="shared" si="33"/>
        <v>0.1470051</v>
      </c>
      <c r="AV52" s="386">
        <f t="shared" si="34"/>
        <v>6.8272863436083409E-2</v>
      </c>
      <c r="AW52" s="386">
        <f t="shared" si="35"/>
        <v>0.59328000000000003</v>
      </c>
      <c r="AX52" s="386">
        <f t="shared" si="36"/>
        <v>3.6000000000000004E-2</v>
      </c>
      <c r="AY52" s="386">
        <f t="shared" si="37"/>
        <v>9.8999999999999977E-2</v>
      </c>
      <c r="AZ52" s="386">
        <f t="shared" si="38"/>
        <v>4.3499999999999997E-2</v>
      </c>
      <c r="BA52" s="386">
        <f t="shared" si="56"/>
        <v>0.13499999999999998</v>
      </c>
      <c r="BB52" s="386">
        <f t="shared" si="57"/>
        <v>3.2659355011874669</v>
      </c>
      <c r="BC52">
        <f t="shared" si="39"/>
        <v>144</v>
      </c>
      <c r="BD52" s="604">
        <f t="shared" si="50"/>
        <v>0.97782287200313789</v>
      </c>
      <c r="BE52" s="614">
        <f t="shared" si="40"/>
        <v>60.515899188603207</v>
      </c>
      <c r="BF52" s="614">
        <f t="shared" si="41"/>
        <v>9.3223597132032179</v>
      </c>
      <c r="BG52" s="9"/>
      <c r="BH52" s="4">
        <f t="shared" si="51"/>
        <v>97.782287200313789</v>
      </c>
      <c r="BI52" s="386">
        <f t="shared" si="52"/>
        <v>0.54682796909280851</v>
      </c>
      <c r="BJ52" s="386">
        <f t="shared" si="53"/>
        <v>1.903188713221879</v>
      </c>
      <c r="BK52" s="386">
        <f t="shared" si="54"/>
        <v>0.23495887726406436</v>
      </c>
      <c r="BL52" s="386">
        <f t="shared" si="55"/>
        <v>6.8272863436083409E-2</v>
      </c>
      <c r="BQ52">
        <v>9.9959819999999997</v>
      </c>
      <c r="BR52">
        <v>11.519</v>
      </c>
      <c r="BS52">
        <v>5.1101260000000002</v>
      </c>
      <c r="BT52">
        <v>88.591390420220321</v>
      </c>
      <c r="BU52">
        <v>7580.3207309739973</v>
      </c>
    </row>
    <row r="53" spans="1:73" x14ac:dyDescent="0.2">
      <c r="A53" s="23" t="s">
        <v>76</v>
      </c>
      <c r="B53" s="5">
        <f>Vsd_Q2</f>
        <v>0.8</v>
      </c>
      <c r="C53" s="482" t="s">
        <v>0</v>
      </c>
      <c r="D53" s="21" t="s">
        <v>109</v>
      </c>
      <c r="G53">
        <v>44</v>
      </c>
      <c r="H53" s="610">
        <f t="shared" si="0"/>
        <v>12.6</v>
      </c>
      <c r="I53" s="4" t="str">
        <f t="shared" si="1"/>
        <v>BUCK-BST</v>
      </c>
      <c r="J53">
        <f t="shared" si="43"/>
        <v>3</v>
      </c>
      <c r="K53">
        <f t="shared" si="2"/>
        <v>12</v>
      </c>
      <c r="L53" s="4">
        <f t="shared" si="3"/>
        <v>12.698412698412698</v>
      </c>
      <c r="M53" s="4">
        <f t="shared" si="4"/>
        <v>12.467532467532468</v>
      </c>
      <c r="N53" s="386">
        <f t="shared" si="5"/>
        <v>0.91666666666666674</v>
      </c>
      <c r="O53" s="386">
        <f t="shared" si="58"/>
        <v>3.7499999999999999E-2</v>
      </c>
      <c r="P53" s="4">
        <f t="shared" si="6"/>
        <v>0.76672340425532004</v>
      </c>
      <c r="Q53" s="386">
        <f t="shared" si="7"/>
        <v>12.469496965015427</v>
      </c>
      <c r="R53" s="386">
        <f t="shared" si="8"/>
        <v>0.54353559374916494</v>
      </c>
      <c r="S53" s="386">
        <f t="shared" si="45"/>
        <v>7.6157171705511627E-3</v>
      </c>
      <c r="T53" s="386">
        <f t="shared" si="46"/>
        <v>0.55115131091971614</v>
      </c>
      <c r="U53" s="4">
        <f t="shared" si="9"/>
        <v>0.22133398192039766</v>
      </c>
      <c r="V53" s="386">
        <f t="shared" si="10"/>
        <v>9.7977463105477835E-5</v>
      </c>
      <c r="W53" s="386">
        <f t="shared" si="47"/>
        <v>9.7977463105477835E-5</v>
      </c>
      <c r="X53" s="386">
        <f t="shared" si="11"/>
        <v>3.3171888994706613</v>
      </c>
      <c r="Y53" s="386">
        <f t="shared" si="12"/>
        <v>2.2007484389542753E-2</v>
      </c>
      <c r="Z53" s="603">
        <f t="shared" si="48"/>
        <v>2.2007484389542753E-2</v>
      </c>
      <c r="AA53" s="386">
        <f t="shared" si="13"/>
        <v>11.938634414391156</v>
      </c>
      <c r="AB53" s="386">
        <f t="shared" si="14"/>
        <v>0.81242665257876379</v>
      </c>
      <c r="AC53" s="386">
        <f t="shared" si="15"/>
        <v>6.7202479338842977E-2</v>
      </c>
      <c r="AD53">
        <f t="shared" si="16"/>
        <v>0</v>
      </c>
      <c r="AE53" s="386">
        <f t="shared" si="17"/>
        <v>1.0502850445106759</v>
      </c>
      <c r="AF53" s="386">
        <f t="shared" si="18"/>
        <v>3.5996337147054374</v>
      </c>
      <c r="AG53" s="386">
        <f t="shared" si="19"/>
        <v>7.3856968416251181E-2</v>
      </c>
      <c r="AH53" s="386">
        <f t="shared" si="20"/>
        <v>0.12</v>
      </c>
      <c r="AI53" s="386">
        <f t="shared" si="21"/>
        <v>0.19676343863073581</v>
      </c>
      <c r="AJ53" s="386">
        <f t="shared" si="22"/>
        <v>2.4147077040544338</v>
      </c>
      <c r="AK53" s="386">
        <f t="shared" si="23"/>
        <v>1.1078545262437687E-2</v>
      </c>
      <c r="AL53" s="386">
        <f t="shared" si="24"/>
        <v>5.7488094717986812E-2</v>
      </c>
      <c r="AM53">
        <f t="shared" si="25"/>
        <v>0</v>
      </c>
      <c r="AN53" s="386">
        <f t="shared" si="26"/>
        <v>6.8718901071605859E-2</v>
      </c>
      <c r="AO53" s="386">
        <f t="shared" si="27"/>
        <v>12.233459905705709</v>
      </c>
      <c r="AP53" s="386">
        <f t="shared" si="28"/>
        <v>0.28434932840256738</v>
      </c>
      <c r="AQ53" s="386">
        <f t="shared" si="29"/>
        <v>0.12698412698412698</v>
      </c>
      <c r="AR53" s="386">
        <f t="shared" si="30"/>
        <v>0.43613647832755453</v>
      </c>
      <c r="AS53" s="386">
        <f t="shared" si="31"/>
        <v>0</v>
      </c>
      <c r="AT53" s="386">
        <f t="shared" si="32"/>
        <v>0</v>
      </c>
      <c r="AU53" s="386">
        <f t="shared" si="33"/>
        <v>0.14818634999999997</v>
      </c>
      <c r="AV53" s="386">
        <f t="shared" si="34"/>
        <v>7.5152704704255599E-2</v>
      </c>
      <c r="AW53" s="386">
        <f t="shared" si="35"/>
        <v>0.59328000000000003</v>
      </c>
      <c r="AX53" s="386">
        <f t="shared" si="36"/>
        <v>3.6000000000000004E-2</v>
      </c>
      <c r="AY53" s="386">
        <f t="shared" si="37"/>
        <v>9.8999999999999977E-2</v>
      </c>
      <c r="AZ53" s="386">
        <f t="shared" si="38"/>
        <v>4.3499999999999997E-2</v>
      </c>
      <c r="BA53" s="386">
        <f t="shared" si="56"/>
        <v>0.13499999999999998</v>
      </c>
      <c r="BB53" s="386">
        <f t="shared" si="57"/>
        <v>3.2767796900171917</v>
      </c>
      <c r="BC53">
        <f t="shared" si="39"/>
        <v>144</v>
      </c>
      <c r="BD53" s="604">
        <f t="shared" si="50"/>
        <v>0.97775087358024781</v>
      </c>
      <c r="BE53" s="614">
        <f t="shared" si="40"/>
        <v>59.923569725533795</v>
      </c>
      <c r="BF53" s="614">
        <f t="shared" si="41"/>
        <v>9.8381719315367899</v>
      </c>
      <c r="BG53" s="9"/>
      <c r="BH53" s="4">
        <f t="shared" si="51"/>
        <v>97.775087358024777</v>
      </c>
      <c r="BI53" s="386">
        <f t="shared" si="52"/>
        <v>0.55115131091971614</v>
      </c>
      <c r="BJ53" s="386">
        <f t="shared" si="53"/>
        <v>1.9000902125405721</v>
      </c>
      <c r="BK53" s="386">
        <f t="shared" si="54"/>
        <v>0.24566493413073581</v>
      </c>
      <c r="BL53" s="386">
        <f t="shared" si="55"/>
        <v>7.5152704704255599E-2</v>
      </c>
      <c r="BQ53">
        <v>9.9955739999999995</v>
      </c>
      <c r="BR53">
        <v>12.605</v>
      </c>
      <c r="BS53">
        <v>5.1111979999999999</v>
      </c>
      <c r="BT53">
        <v>87.386508098290477</v>
      </c>
      <c r="BU53">
        <v>9299.4335961019988</v>
      </c>
    </row>
    <row r="54" spans="1:73" x14ac:dyDescent="0.2">
      <c r="A54" s="23" t="s">
        <v>77</v>
      </c>
      <c r="B54" s="5">
        <f>Qrr_Q2*1000000000</f>
        <v>62.999999999999993</v>
      </c>
      <c r="C54" s="482" t="s">
        <v>69</v>
      </c>
      <c r="D54" s="21" t="s">
        <v>114</v>
      </c>
      <c r="G54">
        <v>45</v>
      </c>
      <c r="H54" s="610">
        <f t="shared" si="0"/>
        <v>12.75</v>
      </c>
      <c r="I54" s="4" t="str">
        <f t="shared" si="1"/>
        <v>BUCK-BST</v>
      </c>
      <c r="J54">
        <f t="shared" si="43"/>
        <v>3</v>
      </c>
      <c r="K54">
        <f t="shared" si="2"/>
        <v>12</v>
      </c>
      <c r="L54" s="4">
        <f t="shared" si="3"/>
        <v>12.549019607843137</v>
      </c>
      <c r="M54" s="4">
        <f t="shared" si="4"/>
        <v>12.467532467532468</v>
      </c>
      <c r="N54" s="386">
        <f t="shared" si="5"/>
        <v>0.90588235294117647</v>
      </c>
      <c r="O54" s="386">
        <f t="shared" si="58"/>
        <v>3.7499999999999999E-2</v>
      </c>
      <c r="P54" s="4">
        <f t="shared" si="6"/>
        <v>0.9889922403003768</v>
      </c>
      <c r="Q54" s="386">
        <f t="shared" si="7"/>
        <v>12.470800881790128</v>
      </c>
      <c r="R54" s="386">
        <f t="shared" si="8"/>
        <v>0.54365421729296382</v>
      </c>
      <c r="S54" s="386">
        <f t="shared" si="45"/>
        <v>1.3690761358554666E-2</v>
      </c>
      <c r="T54" s="386">
        <f t="shared" si="46"/>
        <v>0.55734497865151844</v>
      </c>
      <c r="U54" s="4">
        <f t="shared" si="9"/>
        <v>0.28549746808193682</v>
      </c>
      <c r="V54" s="386">
        <f t="shared" si="10"/>
        <v>1.6301760856239305E-4</v>
      </c>
      <c r="W54" s="386">
        <f t="shared" si="47"/>
        <v>1.6301760856239305E-4</v>
      </c>
      <c r="X54" s="386">
        <f t="shared" si="11"/>
        <v>3.50489937706952</v>
      </c>
      <c r="Y54" s="386">
        <f t="shared" si="12"/>
        <v>2.4568639286764619E-2</v>
      </c>
      <c r="Z54" s="603">
        <f t="shared" si="48"/>
        <v>2.4568639286764619E-2</v>
      </c>
      <c r="AA54" s="386">
        <f t="shared" si="13"/>
        <v>11.869440418328278</v>
      </c>
      <c r="AB54" s="386">
        <f t="shared" si="14"/>
        <v>0.80303661031219631</v>
      </c>
      <c r="AC54" s="386">
        <f t="shared" si="15"/>
        <v>6.8002508854781582E-2</v>
      </c>
      <c r="AD54">
        <f t="shared" si="16"/>
        <v>0</v>
      </c>
      <c r="AE54" s="386">
        <f t="shared" si="17"/>
        <v>1.0377015931413345</v>
      </c>
      <c r="AF54" s="386">
        <f t="shared" si="18"/>
        <v>3.8258670636879772</v>
      </c>
      <c r="AG54" s="386">
        <f t="shared" si="19"/>
        <v>8.3432375097371059E-2</v>
      </c>
      <c r="AH54" s="386">
        <f t="shared" si="20"/>
        <v>0.12</v>
      </c>
      <c r="AI54" s="386">
        <f t="shared" si="21"/>
        <v>0.20688454895543104</v>
      </c>
      <c r="AJ54" s="386">
        <f t="shared" si="22"/>
        <v>2.414960206452097</v>
      </c>
      <c r="AK54" s="386">
        <f t="shared" si="23"/>
        <v>1.1080862317619594E-2</v>
      </c>
      <c r="AL54" s="386">
        <f t="shared" si="24"/>
        <v>5.7488094717986812E-2</v>
      </c>
      <c r="AM54">
        <f t="shared" si="25"/>
        <v>0</v>
      </c>
      <c r="AN54" s="386">
        <f t="shared" si="26"/>
        <v>6.8721255189015104E-2</v>
      </c>
      <c r="AO54" s="386">
        <f t="shared" si="27"/>
        <v>12.234739140435741</v>
      </c>
      <c r="AP54" s="386">
        <f t="shared" si="28"/>
        <v>0.28440879948556957</v>
      </c>
      <c r="AQ54" s="386">
        <f t="shared" si="29"/>
        <v>0.12549019607843137</v>
      </c>
      <c r="AR54" s="386">
        <f t="shared" si="30"/>
        <v>0.43462100310909529</v>
      </c>
      <c r="AS54" s="386">
        <f t="shared" si="31"/>
        <v>0</v>
      </c>
      <c r="AT54" s="386">
        <f t="shared" si="32"/>
        <v>0</v>
      </c>
      <c r="AU54" s="386">
        <f t="shared" si="33"/>
        <v>0.14936759999999999</v>
      </c>
      <c r="AV54" s="386">
        <f t="shared" si="34"/>
        <v>8.1877166351038491E-2</v>
      </c>
      <c r="AW54" s="386">
        <f t="shared" si="35"/>
        <v>0.59328000000000003</v>
      </c>
      <c r="AX54" s="386">
        <f t="shared" si="36"/>
        <v>3.6000000000000004E-2</v>
      </c>
      <c r="AY54" s="386">
        <f t="shared" si="37"/>
        <v>9.8999999999999977E-2</v>
      </c>
      <c r="AZ54" s="386">
        <f t="shared" si="38"/>
        <v>4.3499999999999997E-2</v>
      </c>
      <c r="BA54" s="386">
        <f t="shared" si="56"/>
        <v>0.13499999999999998</v>
      </c>
      <c r="BB54" s="386">
        <f t="shared" si="57"/>
        <v>3.2895298022927602</v>
      </c>
      <c r="BC54">
        <f t="shared" si="39"/>
        <v>144</v>
      </c>
      <c r="BD54" s="604">
        <f t="shared" si="50"/>
        <v>0.97766623461485491</v>
      </c>
      <c r="BE54" s="614">
        <f t="shared" si="40"/>
        <v>59.353459657066722</v>
      </c>
      <c r="BF54" s="614">
        <f t="shared" si="41"/>
        <v>10.344227447771551</v>
      </c>
      <c r="BG54" s="9"/>
      <c r="BH54" s="4">
        <f t="shared" si="51"/>
        <v>97.766623461485494</v>
      </c>
      <c r="BI54" s="386">
        <f t="shared" si="52"/>
        <v>0.55734497865151844</v>
      </c>
      <c r="BJ54" s="386">
        <f t="shared" si="53"/>
        <v>1.8972960003948758</v>
      </c>
      <c r="BK54" s="386">
        <f t="shared" si="54"/>
        <v>0.25617585695543105</v>
      </c>
      <c r="BL54" s="386">
        <f t="shared" si="55"/>
        <v>8.1877166351038491E-2</v>
      </c>
      <c r="BQ54">
        <v>9.9949670000000008</v>
      </c>
      <c r="BR54">
        <v>13.75</v>
      </c>
      <c r="BS54">
        <v>5.1122329999999998</v>
      </c>
      <c r="BT54">
        <v>85.985113444924963</v>
      </c>
      <c r="BU54">
        <v>11457.230537720005</v>
      </c>
    </row>
    <row r="55" spans="1:73" x14ac:dyDescent="0.2">
      <c r="A55" s="23" t="s">
        <v>78</v>
      </c>
      <c r="B55" s="5">
        <f>Trr_Q2*1000000000</f>
        <v>40</v>
      </c>
      <c r="C55" s="482" t="s">
        <v>79</v>
      </c>
      <c r="D55" s="76" t="s">
        <v>110</v>
      </c>
      <c r="G55">
        <v>46</v>
      </c>
      <c r="H55" s="610">
        <f t="shared" si="0"/>
        <v>12.9</v>
      </c>
      <c r="I55" s="4" t="str">
        <f t="shared" si="1"/>
        <v>BUCK-BST</v>
      </c>
      <c r="J55">
        <f t="shared" si="43"/>
        <v>3</v>
      </c>
      <c r="K55">
        <f t="shared" si="2"/>
        <v>12</v>
      </c>
      <c r="L55" s="4">
        <f t="shared" si="3"/>
        <v>12.403100775193797</v>
      </c>
      <c r="M55" s="4">
        <f t="shared" si="4"/>
        <v>12.467532467532468</v>
      </c>
      <c r="N55" s="386">
        <f t="shared" si="5"/>
        <v>0.89534883720930236</v>
      </c>
      <c r="O55" s="386">
        <f t="shared" si="58"/>
        <v>3.7499999999999999E-2</v>
      </c>
      <c r="P55" s="4">
        <f t="shared" si="6"/>
        <v>1.2060920336467114</v>
      </c>
      <c r="Q55" s="386">
        <f t="shared" si="7"/>
        <v>12.472393007295956</v>
      </c>
      <c r="R55" s="386">
        <f t="shared" si="8"/>
        <v>0.54379908030843926</v>
      </c>
      <c r="S55" s="386">
        <f t="shared" si="45"/>
        <v>2.1627371968554708E-2</v>
      </c>
      <c r="T55" s="386">
        <f t="shared" si="46"/>
        <v>0.56542645227699395</v>
      </c>
      <c r="U55" s="4">
        <f t="shared" si="9"/>
        <v>0.348168780146696</v>
      </c>
      <c r="V55" s="386">
        <f t="shared" si="10"/>
        <v>2.4244299893767668E-4</v>
      </c>
      <c r="W55" s="386">
        <f t="shared" si="47"/>
        <v>2.4244299893767668E-4</v>
      </c>
      <c r="X55" s="386">
        <f t="shared" si="11"/>
        <v>3.6747866775305273</v>
      </c>
      <c r="Y55" s="386">
        <f t="shared" si="12"/>
        <v>2.7008114250711705E-2</v>
      </c>
      <c r="Z55" s="603">
        <f t="shared" si="48"/>
        <v>2.7008114250711705E-2</v>
      </c>
      <c r="AA55" s="386">
        <f t="shared" si="13"/>
        <v>11.801736778123779</v>
      </c>
      <c r="AB55" s="386">
        <f t="shared" si="14"/>
        <v>0.79390164858668089</v>
      </c>
      <c r="AC55" s="386">
        <f t="shared" si="15"/>
        <v>6.8802538370720187E-2</v>
      </c>
      <c r="AD55">
        <f t="shared" si="16"/>
        <v>0</v>
      </c>
      <c r="AE55" s="386">
        <f t="shared" si="17"/>
        <v>1.0255397221840021</v>
      </c>
      <c r="AF55" s="386">
        <f t="shared" si="18"/>
        <v>4.0347981793796874</v>
      </c>
      <c r="AG55" s="386">
        <f t="shared" si="19"/>
        <v>9.2793699185456158E-2</v>
      </c>
      <c r="AH55" s="386">
        <f t="shared" si="20"/>
        <v>0.12</v>
      </c>
      <c r="AI55" s="386">
        <f t="shared" si="21"/>
        <v>0.21681755987121906</v>
      </c>
      <c r="AJ55" s="386">
        <f t="shared" si="22"/>
        <v>2.4152685202305539</v>
      </c>
      <c r="AK55" s="386">
        <f t="shared" si="23"/>
        <v>1.108369184715171E-2</v>
      </c>
      <c r="AL55" s="386">
        <f t="shared" si="24"/>
        <v>5.7488094717986812E-2</v>
      </c>
      <c r="AM55">
        <f t="shared" si="25"/>
        <v>0</v>
      </c>
      <c r="AN55" s="386">
        <f t="shared" si="26"/>
        <v>6.8724129980973062E-2</v>
      </c>
      <c r="AO55" s="386">
        <f t="shared" si="27"/>
        <v>12.23630112834873</v>
      </c>
      <c r="AP55" s="386">
        <f t="shared" si="28"/>
        <v>0.28448142407689397</v>
      </c>
      <c r="AQ55" s="386">
        <f t="shared" si="29"/>
        <v>0.12403100775193798</v>
      </c>
      <c r="AR55" s="386">
        <f t="shared" si="30"/>
        <v>0.43315748337271887</v>
      </c>
      <c r="AS55" s="386">
        <f t="shared" si="31"/>
        <v>0</v>
      </c>
      <c r="AT55" s="386">
        <f t="shared" si="32"/>
        <v>0</v>
      </c>
      <c r="AU55" s="386">
        <f t="shared" si="33"/>
        <v>0.15054884999999998</v>
      </c>
      <c r="AV55" s="386">
        <f t="shared" si="34"/>
        <v>8.8452473492569308E-2</v>
      </c>
      <c r="AW55" s="386">
        <f t="shared" si="35"/>
        <v>0.59328000000000003</v>
      </c>
      <c r="AX55" s="386">
        <f t="shared" si="36"/>
        <v>3.6000000000000004E-2</v>
      </c>
      <c r="AY55" s="386">
        <f t="shared" si="37"/>
        <v>9.8999999999999977E-2</v>
      </c>
      <c r="AZ55" s="386">
        <f t="shared" si="38"/>
        <v>4.3499999999999997E-2</v>
      </c>
      <c r="BA55" s="386">
        <f t="shared" si="56"/>
        <v>0.13499999999999998</v>
      </c>
      <c r="BB55" s="386">
        <f t="shared" si="57"/>
        <v>3.3041972284281256</v>
      </c>
      <c r="BC55">
        <f t="shared" si="39"/>
        <v>144</v>
      </c>
      <c r="BD55" s="604">
        <f t="shared" si="50"/>
        <v>0.97756888608337322</v>
      </c>
      <c r="BE55" s="614">
        <f t="shared" si="40"/>
        <v>58.804428609200109</v>
      </c>
      <c r="BF55" s="614">
        <f t="shared" si="41"/>
        <v>10.840877993560953</v>
      </c>
      <c r="BG55" s="9"/>
      <c r="BH55" s="4">
        <f t="shared" si="51"/>
        <v>97.75688860833732</v>
      </c>
      <c r="BI55" s="386">
        <f t="shared" si="52"/>
        <v>0.56542645227699395</v>
      </c>
      <c r="BJ55" s="386">
        <f t="shared" si="53"/>
        <v>1.894787745408913</v>
      </c>
      <c r="BK55" s="386">
        <f t="shared" si="54"/>
        <v>0.26649868037121904</v>
      </c>
      <c r="BL55" s="386">
        <f t="shared" si="55"/>
        <v>8.8452473492569308E-2</v>
      </c>
      <c r="BQ55">
        <v>9.9943860000000004</v>
      </c>
      <c r="BR55">
        <v>14.954000000000001</v>
      </c>
      <c r="BS55">
        <v>5.1130310000000003</v>
      </c>
      <c r="BT55">
        <v>84.352650264578628</v>
      </c>
      <c r="BU55">
        <v>14183.318533699994</v>
      </c>
    </row>
    <row r="56" spans="1:73" ht="15.75" x14ac:dyDescent="0.3">
      <c r="A56" s="488" t="s">
        <v>679</v>
      </c>
      <c r="B56" s="5">
        <f>ThetaJA_Q2</f>
        <v>50</v>
      </c>
      <c r="C56" s="483" t="s">
        <v>241</v>
      </c>
      <c r="D56" s="76" t="s">
        <v>107</v>
      </c>
      <c r="E56" s="2"/>
      <c r="G56">
        <v>47</v>
      </c>
      <c r="H56" s="610">
        <f t="shared" si="0"/>
        <v>13.05</v>
      </c>
      <c r="I56" s="4" t="str">
        <f t="shared" si="1"/>
        <v>BUCK-BST</v>
      </c>
      <c r="J56">
        <f t="shared" si="43"/>
        <v>3</v>
      </c>
      <c r="K56">
        <f t="shared" si="2"/>
        <v>12</v>
      </c>
      <c r="L56" s="4">
        <f t="shared" si="3"/>
        <v>12.260536398467432</v>
      </c>
      <c r="M56" s="4">
        <f t="shared" si="4"/>
        <v>12.467532467532468</v>
      </c>
      <c r="N56" s="386">
        <f t="shared" si="5"/>
        <v>0.88505747126436785</v>
      </c>
      <c r="O56" s="386">
        <f t="shared" si="58"/>
        <v>3.7499999999999999E-2</v>
      </c>
      <c r="P56" s="4">
        <f t="shared" si="6"/>
        <v>1.4182010271460037</v>
      </c>
      <c r="Q56" s="386">
        <f t="shared" si="7"/>
        <v>12.47425242950826</v>
      </c>
      <c r="R56" s="386">
        <f t="shared" si="8"/>
        <v>0.5439682913836702</v>
      </c>
      <c r="S56" s="386">
        <f t="shared" si="45"/>
        <v>3.1412830899899831E-2</v>
      </c>
      <c r="T56" s="386">
        <f t="shared" si="46"/>
        <v>0.57538112228357008</v>
      </c>
      <c r="U56" s="4">
        <f t="shared" si="9"/>
        <v>0.40939937239387453</v>
      </c>
      <c r="V56" s="386">
        <f t="shared" si="10"/>
        <v>3.3521569223299671E-4</v>
      </c>
      <c r="W56" s="386">
        <f t="shared" si="47"/>
        <v>3.3521569223299671E-4</v>
      </c>
      <c r="X56" s="386">
        <f t="shared" si="11"/>
        <v>3.8296576846291006</v>
      </c>
      <c r="Y56" s="386">
        <f t="shared" si="12"/>
        <v>2.9332555962877448E-2</v>
      </c>
      <c r="Z56" s="603">
        <f t="shared" si="48"/>
        <v>2.9332555962877448E-2</v>
      </c>
      <c r="AA56" s="386">
        <f t="shared" si="13"/>
        <v>11.735463971738765</v>
      </c>
      <c r="AB56" s="386">
        <f t="shared" si="14"/>
        <v>0.78501035340227798</v>
      </c>
      <c r="AC56" s="386">
        <f t="shared" si="15"/>
        <v>6.9602567886658792E-2</v>
      </c>
      <c r="AD56">
        <f t="shared" si="16"/>
        <v>0</v>
      </c>
      <c r="AE56" s="386">
        <f t="shared" si="17"/>
        <v>1.0137781975084657</v>
      </c>
      <c r="AF56" s="386">
        <f t="shared" si="18"/>
        <v>4.2291676537013876</v>
      </c>
      <c r="AG56" s="386">
        <f t="shared" si="19"/>
        <v>0.10194939654575037</v>
      </c>
      <c r="AH56" s="386">
        <f t="shared" si="20"/>
        <v>0.12</v>
      </c>
      <c r="AI56" s="386">
        <f t="shared" si="21"/>
        <v>0.2265691134236395</v>
      </c>
      <c r="AJ56" s="386">
        <f t="shared" si="22"/>
        <v>2.415628595793645</v>
      </c>
      <c r="AK56" s="386">
        <f t="shared" si="23"/>
        <v>1.1086996874350356E-2</v>
      </c>
      <c r="AL56" s="386">
        <f t="shared" si="24"/>
        <v>5.7488094717986812E-2</v>
      </c>
      <c r="AM56">
        <f t="shared" si="25"/>
        <v>0</v>
      </c>
      <c r="AN56" s="386">
        <f t="shared" si="26"/>
        <v>6.8727487881000887E-2</v>
      </c>
      <c r="AO56" s="386">
        <f t="shared" si="27"/>
        <v>12.23812535326701</v>
      </c>
      <c r="AP56" s="386">
        <f t="shared" si="28"/>
        <v>0.2845662531083259</v>
      </c>
      <c r="AQ56" s="386">
        <f t="shared" si="29"/>
        <v>0.12260536398467432</v>
      </c>
      <c r="AR56" s="386">
        <f t="shared" si="30"/>
        <v>0.43174354571453805</v>
      </c>
      <c r="AS56" s="386">
        <f t="shared" si="31"/>
        <v>0</v>
      </c>
      <c r="AT56" s="386">
        <f t="shared" si="32"/>
        <v>0</v>
      </c>
      <c r="AU56" s="386">
        <f t="shared" si="33"/>
        <v>0.15173009999999998</v>
      </c>
      <c r="AV56" s="386">
        <f t="shared" si="34"/>
        <v>9.4884482223720312E-2</v>
      </c>
      <c r="AW56" s="386">
        <f t="shared" si="35"/>
        <v>0.59328000000000003</v>
      </c>
      <c r="AX56" s="386">
        <f t="shared" si="36"/>
        <v>3.6000000000000004E-2</v>
      </c>
      <c r="AY56" s="386">
        <f t="shared" si="37"/>
        <v>9.8999999999999977E-2</v>
      </c>
      <c r="AZ56" s="386">
        <f t="shared" si="38"/>
        <v>4.3499999999999997E-2</v>
      </c>
      <c r="BA56" s="386">
        <f t="shared" si="56"/>
        <v>0.13499999999999998</v>
      </c>
      <c r="BB56" s="386">
        <f t="shared" si="57"/>
        <v>3.3207618206900449</v>
      </c>
      <c r="BC56">
        <f t="shared" si="39"/>
        <v>144</v>
      </c>
      <c r="BD56" s="604">
        <f t="shared" si="50"/>
        <v>0.97745896926102049</v>
      </c>
      <c r="BE56" s="614">
        <f t="shared" si="40"/>
        <v>58.27541487542328</v>
      </c>
      <c r="BF56" s="614">
        <f t="shared" si="41"/>
        <v>11.328455671181976</v>
      </c>
      <c r="BG56" s="9"/>
      <c r="BH56" s="4">
        <f t="shared" si="51"/>
        <v>97.745896926102048</v>
      </c>
      <c r="BI56" s="386">
        <f t="shared" si="52"/>
        <v>0.57538112228357008</v>
      </c>
      <c r="BJ56" s="386">
        <f t="shared" si="53"/>
        <v>1.8925484445276441</v>
      </c>
      <c r="BK56" s="386">
        <f t="shared" si="54"/>
        <v>0.27664004642363949</v>
      </c>
      <c r="BL56" s="386">
        <f t="shared" si="55"/>
        <v>9.4884482223720312E-2</v>
      </c>
      <c r="BR56" s="18"/>
      <c r="BS56" s="19"/>
    </row>
    <row r="57" spans="1:73" x14ac:dyDescent="0.2">
      <c r="A57" s="24" t="s">
        <v>279</v>
      </c>
      <c r="B57" s="15" t="s">
        <v>115</v>
      </c>
      <c r="C57" s="24" t="s">
        <v>80</v>
      </c>
      <c r="D57" s="24" t="s">
        <v>249</v>
      </c>
      <c r="G57">
        <v>48</v>
      </c>
      <c r="H57" s="610">
        <f t="shared" si="0"/>
        <v>13.2</v>
      </c>
      <c r="I57" s="4" t="str">
        <f t="shared" si="1"/>
        <v>BUCK-BST</v>
      </c>
      <c r="J57">
        <f t="shared" si="43"/>
        <v>3</v>
      </c>
      <c r="K57">
        <f t="shared" si="2"/>
        <v>12</v>
      </c>
      <c r="L57" s="4">
        <f t="shared" si="3"/>
        <v>12.121212121212123</v>
      </c>
      <c r="M57" s="4">
        <f t="shared" si="4"/>
        <v>12.467532467532468</v>
      </c>
      <c r="N57" s="386">
        <f t="shared" si="5"/>
        <v>0.87500000000000011</v>
      </c>
      <c r="O57" s="386">
        <f t="shared" si="58"/>
        <v>3.7499999999999999E-2</v>
      </c>
      <c r="P57" s="4">
        <f t="shared" si="6"/>
        <v>1.625489361702128</v>
      </c>
      <c r="Q57" s="386">
        <f t="shared" si="7"/>
        <v>12.476359664089793</v>
      </c>
      <c r="R57" s="386">
        <f t="shared" si="8"/>
        <v>0.54416008967098251</v>
      </c>
      <c r="S57" s="386">
        <f t="shared" si="45"/>
        <v>4.3014079600343078E-2</v>
      </c>
      <c r="T57" s="386">
        <f t="shared" si="46"/>
        <v>0.5871741692713256</v>
      </c>
      <c r="U57" s="4">
        <f t="shared" si="9"/>
        <v>0.46923836027179833</v>
      </c>
      <c r="V57" s="386">
        <f t="shared" si="10"/>
        <v>4.4036927750113202E-4</v>
      </c>
      <c r="W57" s="386">
        <f t="shared" si="47"/>
        <v>4.4036927750113202E-4</v>
      </c>
      <c r="X57" s="386">
        <f t="shared" si="11"/>
        <v>3.9716599419969643</v>
      </c>
      <c r="Y57" s="386">
        <f t="shared" si="12"/>
        <v>3.1548165389726657E-2</v>
      </c>
      <c r="Z57" s="603">
        <f t="shared" si="48"/>
        <v>3.1548165389726657E-2</v>
      </c>
      <c r="AA57" s="386">
        <f t="shared" si="13"/>
        <v>11.670565824297508</v>
      </c>
      <c r="AB57" s="386">
        <f t="shared" si="14"/>
        <v>0.77635200795778758</v>
      </c>
      <c r="AC57" s="386">
        <f t="shared" si="15"/>
        <v>7.0402597402597411E-2</v>
      </c>
      <c r="AD57">
        <f t="shared" si="16"/>
        <v>0</v>
      </c>
      <c r="AE57" s="386">
        <f t="shared" si="17"/>
        <v>1.0023972250478235</v>
      </c>
      <c r="AF57" s="386">
        <f t="shared" si="18"/>
        <v>4.4110592615001032</v>
      </c>
      <c r="AG57" s="386">
        <f t="shared" si="19"/>
        <v>0.11090742970825528</v>
      </c>
      <c r="AH57" s="386">
        <f t="shared" si="20"/>
        <v>0.12</v>
      </c>
      <c r="AI57" s="386">
        <f t="shared" si="21"/>
        <v>0.23614548751986142</v>
      </c>
      <c r="AJ57" s="386">
        <f t="shared" si="22"/>
        <v>2.4160366600156866</v>
      </c>
      <c r="AK57" s="386">
        <f t="shared" si="23"/>
        <v>1.1090742970825533E-2</v>
      </c>
      <c r="AL57" s="386">
        <f t="shared" si="24"/>
        <v>5.7488094717986812E-2</v>
      </c>
      <c r="AM57">
        <f t="shared" si="25"/>
        <v>0</v>
      </c>
      <c r="AN57" s="386">
        <f t="shared" si="26"/>
        <v>6.8731293911777902E-2</v>
      </c>
      <c r="AO57" s="386">
        <f t="shared" si="27"/>
        <v>12.240192699675404</v>
      </c>
      <c r="AP57" s="386">
        <f t="shared" si="28"/>
        <v>0.28466240291785544</v>
      </c>
      <c r="AQ57" s="386">
        <f t="shared" si="29"/>
        <v>0.12121212121212123</v>
      </c>
      <c r="AR57" s="386">
        <f t="shared" si="30"/>
        <v>0.43037695156878292</v>
      </c>
      <c r="AS57" s="386">
        <f t="shared" si="31"/>
        <v>0</v>
      </c>
      <c r="AT57" s="386">
        <f t="shared" si="32"/>
        <v>0</v>
      </c>
      <c r="AU57" s="386">
        <f t="shared" si="33"/>
        <v>0.15291134999999997</v>
      </c>
      <c r="AV57" s="386">
        <f t="shared" si="34"/>
        <v>0.10117870780402237</v>
      </c>
      <c r="AW57" s="386">
        <f t="shared" si="35"/>
        <v>0.59328000000000003</v>
      </c>
      <c r="AX57" s="386">
        <f t="shared" si="36"/>
        <v>3.6000000000000004E-2</v>
      </c>
      <c r="AY57" s="386">
        <f t="shared" si="37"/>
        <v>9.8999999999999977E-2</v>
      </c>
      <c r="AZ57" s="386">
        <f t="shared" si="38"/>
        <v>4.3499999999999997E-2</v>
      </c>
      <c r="BA57" s="386">
        <f t="shared" si="56"/>
        <v>0.13499999999999998</v>
      </c>
      <c r="BB57" s="386">
        <f t="shared" si="57"/>
        <v>3.3391837197908214</v>
      </c>
      <c r="BC57">
        <f t="shared" si="39"/>
        <v>144</v>
      </c>
      <c r="BD57" s="604">
        <f t="shared" si="50"/>
        <v>0.97733675702899736</v>
      </c>
      <c r="BE57" s="614">
        <f t="shared" si="40"/>
        <v>57.765428752391166</v>
      </c>
      <c r="BF57" s="614">
        <f t="shared" si="41"/>
        <v>11.807274375993071</v>
      </c>
      <c r="BG57" s="9"/>
      <c r="BH57" s="4">
        <f t="shared" si="51"/>
        <v>97.733675702899731</v>
      </c>
      <c r="BI57" s="386">
        <f t="shared" si="52"/>
        <v>0.5871741692713256</v>
      </c>
      <c r="BJ57" s="386">
        <f t="shared" si="53"/>
        <v>1.8905623080482457</v>
      </c>
      <c r="BK57" s="386">
        <f t="shared" si="54"/>
        <v>0.28660623301986143</v>
      </c>
      <c r="BL57" s="386">
        <f t="shared" si="55"/>
        <v>0.10117870780402237</v>
      </c>
      <c r="BR57" s="18"/>
      <c r="BS57" s="19"/>
    </row>
    <row r="58" spans="1:73" x14ac:dyDescent="0.2">
      <c r="A58" s="23" t="s">
        <v>231</v>
      </c>
      <c r="B58" s="73">
        <f>VfdSky_Q2</f>
        <v>0</v>
      </c>
      <c r="C58" s="482" t="s">
        <v>0</v>
      </c>
      <c r="D58" s="76" t="s">
        <v>234</v>
      </c>
      <c r="G58">
        <v>49</v>
      </c>
      <c r="H58" s="610">
        <f t="shared" si="0"/>
        <v>13.35</v>
      </c>
      <c r="I58" s="4" t="str">
        <f t="shared" si="1"/>
        <v>BUCK-BST</v>
      </c>
      <c r="J58">
        <f t="shared" si="43"/>
        <v>3</v>
      </c>
      <c r="K58">
        <f t="shared" si="2"/>
        <v>12</v>
      </c>
      <c r="L58" s="4">
        <f t="shared" si="3"/>
        <v>11.985018726591759</v>
      </c>
      <c r="M58" s="4">
        <f t="shared" si="4"/>
        <v>12.467532467532468</v>
      </c>
      <c r="N58" s="386">
        <f t="shared" si="5"/>
        <v>0.8651685393258427</v>
      </c>
      <c r="O58" s="386">
        <f t="shared" si="58"/>
        <v>3.7499999999999999E-2</v>
      </c>
      <c r="P58" s="4">
        <f t="shared" si="6"/>
        <v>1.8281195314367684</v>
      </c>
      <c r="Q58" s="386">
        <f t="shared" si="7"/>
        <v>12.478696549750083</v>
      </c>
      <c r="R58" s="386">
        <f t="shared" si="8"/>
        <v>0.5443728350426783</v>
      </c>
      <c r="S58" s="386">
        <f t="shared" si="45"/>
        <v>5.6384764079789478E-2</v>
      </c>
      <c r="T58" s="386">
        <f t="shared" si="46"/>
        <v>0.60075759912246773</v>
      </c>
      <c r="U58" s="4">
        <f t="shared" si="9"/>
        <v>0.5277326517929154</v>
      </c>
      <c r="V58" s="386">
        <f t="shared" si="10"/>
        <v>5.5700350353676494E-4</v>
      </c>
      <c r="W58" s="386">
        <f t="shared" si="47"/>
        <v>5.5700350353676494E-4</v>
      </c>
      <c r="X58" s="386">
        <f t="shared" si="11"/>
        <v>4.10248300724371</v>
      </c>
      <c r="Y58" s="386">
        <f t="shared" si="12"/>
        <v>3.3660733649446793E-2</v>
      </c>
      <c r="Z58" s="603">
        <f t="shared" si="48"/>
        <v>3.3660733649446793E-2</v>
      </c>
      <c r="AA58" s="386">
        <f t="shared" si="13"/>
        <v>11.606989275508436</v>
      </c>
      <c r="AB58" s="386">
        <f t="shared" si="14"/>
        <v>0.76791654023807676</v>
      </c>
      <c r="AC58" s="386">
        <f t="shared" si="15"/>
        <v>7.1202626918536002E-2</v>
      </c>
      <c r="AD58">
        <f t="shared" si="16"/>
        <v>0</v>
      </c>
      <c r="AE58" s="386">
        <f t="shared" si="17"/>
        <v>0.99137833071446269</v>
      </c>
      <c r="AF58" s="386">
        <f t="shared" si="18"/>
        <v>4.5821029603203813</v>
      </c>
      <c r="AG58" s="386">
        <f t="shared" si="19"/>
        <v>0.11967530497216779</v>
      </c>
      <c r="AH58" s="386">
        <f t="shared" si="20"/>
        <v>0.12</v>
      </c>
      <c r="AI58" s="386">
        <f t="shared" si="21"/>
        <v>0.24555262195602839</v>
      </c>
      <c r="AJ58" s="386">
        <f t="shared" si="22"/>
        <v>2.4164891959779013</v>
      </c>
      <c r="AK58" s="386">
        <f t="shared" si="23"/>
        <v>1.1094898065128056E-2</v>
      </c>
      <c r="AL58" s="386">
        <f t="shared" si="24"/>
        <v>5.7488094717986812E-2</v>
      </c>
      <c r="AM58">
        <f t="shared" si="25"/>
        <v>0</v>
      </c>
      <c r="AN58" s="386">
        <f t="shared" si="26"/>
        <v>6.8735515490679494E-2</v>
      </c>
      <c r="AO58" s="386">
        <f t="shared" si="27"/>
        <v>12.242485350061347</v>
      </c>
      <c r="AP58" s="386">
        <f t="shared" si="28"/>
        <v>0.28476905033828676</v>
      </c>
      <c r="AQ58" s="386">
        <f t="shared" si="29"/>
        <v>0.11985018726591759</v>
      </c>
      <c r="AR58" s="386">
        <f t="shared" si="30"/>
        <v>0.42905558807594901</v>
      </c>
      <c r="AS58" s="386">
        <f t="shared" si="31"/>
        <v>0</v>
      </c>
      <c r="AT58" s="386">
        <f t="shared" si="32"/>
        <v>0</v>
      </c>
      <c r="AU58" s="386">
        <f t="shared" si="33"/>
        <v>0.15409259999999997</v>
      </c>
      <c r="AV58" s="386">
        <f t="shared" si="34"/>
        <v>0.10734035029301892</v>
      </c>
      <c r="AW58" s="386">
        <f t="shared" si="35"/>
        <v>0.59328000000000003</v>
      </c>
      <c r="AX58" s="386">
        <f t="shared" si="36"/>
        <v>3.6000000000000004E-2</v>
      </c>
      <c r="AY58" s="386">
        <f t="shared" si="37"/>
        <v>9.8999999999999977E-2</v>
      </c>
      <c r="AZ58" s="386">
        <f t="shared" si="38"/>
        <v>4.3499999999999997E-2</v>
      </c>
      <c r="BA58" s="386">
        <f t="shared" si="56"/>
        <v>0.13499999999999998</v>
      </c>
      <c r="BB58" s="386">
        <f t="shared" si="57"/>
        <v>3.3594103428055893</v>
      </c>
      <c r="BC58">
        <f t="shared" si="39"/>
        <v>144</v>
      </c>
      <c r="BD58" s="604">
        <f t="shared" si="50"/>
        <v>0.97720260731913533</v>
      </c>
      <c r="BE58" s="614">
        <f t="shared" si="40"/>
        <v>57.273546535723128</v>
      </c>
      <c r="BF58" s="614">
        <f t="shared" si="41"/>
        <v>12.27763109780142</v>
      </c>
      <c r="BG58" s="9"/>
      <c r="BH58" s="4">
        <f t="shared" si="51"/>
        <v>97.720260731913527</v>
      </c>
      <c r="BI58" s="386">
        <f t="shared" si="52"/>
        <v>0.60075759912246773</v>
      </c>
      <c r="BJ58" s="386">
        <f t="shared" si="53"/>
        <v>1.8888146562371195</v>
      </c>
      <c r="BK58" s="386">
        <f t="shared" si="54"/>
        <v>0.29640317995602838</v>
      </c>
      <c r="BL58" s="386">
        <f t="shared" si="55"/>
        <v>0.10734035029301892</v>
      </c>
      <c r="BR58" s="18"/>
      <c r="BS58" s="19"/>
    </row>
    <row r="59" spans="1:73" x14ac:dyDescent="0.2">
      <c r="A59" s="23" t="s">
        <v>232</v>
      </c>
      <c r="B59" s="73">
        <f>QrrSky_Q2*1000000000</f>
        <v>0</v>
      </c>
      <c r="C59" s="482" t="s">
        <v>69</v>
      </c>
      <c r="D59" s="76" t="s">
        <v>235</v>
      </c>
      <c r="G59">
        <v>50</v>
      </c>
      <c r="H59" s="610">
        <f t="shared" si="0"/>
        <v>13.5</v>
      </c>
      <c r="I59" s="4" t="str">
        <f t="shared" si="1"/>
        <v>BUCK-BST</v>
      </c>
      <c r="J59">
        <f t="shared" si="43"/>
        <v>3</v>
      </c>
      <c r="K59">
        <f t="shared" si="2"/>
        <v>12</v>
      </c>
      <c r="L59" s="4">
        <f t="shared" si="3"/>
        <v>11.851851851851851</v>
      </c>
      <c r="M59" s="4">
        <f t="shared" si="4"/>
        <v>12.467532467532468</v>
      </c>
      <c r="N59" s="386">
        <f t="shared" si="5"/>
        <v>0.85555555555555551</v>
      </c>
      <c r="O59" s="386">
        <f t="shared" si="58"/>
        <v>3.7499999999999999E-2</v>
      </c>
      <c r="P59" s="4">
        <f t="shared" si="6"/>
        <v>2.0262468085106393</v>
      </c>
      <c r="Q59" s="386">
        <f t="shared" si="7"/>
        <v>12.481246151983097</v>
      </c>
      <c r="R59" s="386">
        <f t="shared" si="8"/>
        <v>0.54460499907175319</v>
      </c>
      <c r="S59" s="386">
        <f t="shared" si="45"/>
        <v>7.1469765241539876E-2</v>
      </c>
      <c r="T59" s="386">
        <f t="shared" si="46"/>
        <v>0.61607476431329311</v>
      </c>
      <c r="U59" s="4">
        <f t="shared" si="9"/>
        <v>0.58492707016911893</v>
      </c>
      <c r="V59" s="386">
        <f t="shared" si="10"/>
        <v>6.8427935483325879E-4</v>
      </c>
      <c r="W59" s="386">
        <f t="shared" si="47"/>
        <v>6.8427935483325879E-4</v>
      </c>
      <c r="X59" s="386">
        <f t="shared" si="11"/>
        <v>4.2234863870231241</v>
      </c>
      <c r="Y59" s="386">
        <f t="shared" si="12"/>
        <v>3.5675674522739287E-2</v>
      </c>
      <c r="Z59" s="603">
        <f t="shared" si="48"/>
        <v>3.5675674522739287E-2</v>
      </c>
      <c r="AA59" s="386">
        <f t="shared" si="13"/>
        <v>11.544684165831596</v>
      </c>
      <c r="AB59" s="386">
        <f t="shared" si="14"/>
        <v>0.75969447518617583</v>
      </c>
      <c r="AC59" s="386">
        <f t="shared" si="15"/>
        <v>7.2002656434474621E-2</v>
      </c>
      <c r="AD59">
        <f t="shared" si="16"/>
        <v>0</v>
      </c>
      <c r="AE59" s="386">
        <f t="shared" si="17"/>
        <v>0.98070425203283806</v>
      </c>
      <c r="AF59" s="386">
        <f t="shared" si="18"/>
        <v>4.74360337903477</v>
      </c>
      <c r="AG59" s="386">
        <f t="shared" si="19"/>
        <v>0.12826010620026351</v>
      </c>
      <c r="AH59" s="386">
        <f t="shared" si="20"/>
        <v>0.12</v>
      </c>
      <c r="AI59" s="386">
        <f t="shared" si="21"/>
        <v>0.25479614225322678</v>
      </c>
      <c r="AJ59" s="386">
        <f t="shared" si="22"/>
        <v>2.4169829243272969</v>
      </c>
      <c r="AK59" s="386">
        <f t="shared" si="23"/>
        <v>1.109943226733049E-2</v>
      </c>
      <c r="AL59" s="386">
        <f t="shared" si="24"/>
        <v>5.7488094717986812E-2</v>
      </c>
      <c r="AM59">
        <f t="shared" si="25"/>
        <v>0</v>
      </c>
      <c r="AN59" s="386">
        <f t="shared" si="26"/>
        <v>6.8740122251513047E-2</v>
      </c>
      <c r="AO59" s="386">
        <f t="shared" si="27"/>
        <v>12.244986690474725</v>
      </c>
      <c r="AP59" s="386">
        <f t="shared" si="28"/>
        <v>0.28488542819481599</v>
      </c>
      <c r="AQ59" s="386">
        <f t="shared" si="29"/>
        <v>0.11851851851851851</v>
      </c>
      <c r="AR59" s="386">
        <f t="shared" si="30"/>
        <v>0.42777745966721137</v>
      </c>
      <c r="AS59" s="386">
        <f t="shared" si="31"/>
        <v>0</v>
      </c>
      <c r="AT59" s="386">
        <f t="shared" si="32"/>
        <v>0</v>
      </c>
      <c r="AU59" s="386">
        <f t="shared" si="33"/>
        <v>0.15527384999999999</v>
      </c>
      <c r="AV59" s="386">
        <f t="shared" si="34"/>
        <v>0.11337431789631928</v>
      </c>
      <c r="AW59" s="386">
        <f t="shared" si="35"/>
        <v>0.59328000000000003</v>
      </c>
      <c r="AX59" s="386">
        <f t="shared" si="36"/>
        <v>3.6000000000000004E-2</v>
      </c>
      <c r="AY59" s="386">
        <f t="shared" si="37"/>
        <v>9.8999999999999977E-2</v>
      </c>
      <c r="AZ59" s="386">
        <f t="shared" si="38"/>
        <v>4.3499999999999997E-2</v>
      </c>
      <c r="BA59" s="386">
        <f t="shared" si="56"/>
        <v>0.13499999999999998</v>
      </c>
      <c r="BB59" s="386">
        <f t="shared" si="57"/>
        <v>3.3813808622919739</v>
      </c>
      <c r="BC59">
        <f t="shared" si="39"/>
        <v>144</v>
      </c>
      <c r="BD59" s="604">
        <f t="shared" si="50"/>
        <v>0.97705693322651521</v>
      </c>
      <c r="BE59" s="614">
        <f t="shared" si="40"/>
        <v>56.798905101641907</v>
      </c>
      <c r="BF59" s="614">
        <f t="shared" si="41"/>
        <v>12.739807112661339</v>
      </c>
      <c r="BG59" s="9"/>
      <c r="BH59" s="4">
        <f t="shared" si="51"/>
        <v>97.705693322651527</v>
      </c>
      <c r="BI59" s="386">
        <f t="shared" si="52"/>
        <v>0.61607476431329311</v>
      </c>
      <c r="BJ59" s="386">
        <f t="shared" si="53"/>
        <v>1.8872918262047889</v>
      </c>
      <c r="BK59" s="386">
        <f t="shared" si="54"/>
        <v>0.3060365127532268</v>
      </c>
      <c r="BL59" s="386">
        <f t="shared" si="55"/>
        <v>0.11337431789631928</v>
      </c>
      <c r="BR59" s="18"/>
      <c r="BS59" s="19"/>
    </row>
    <row r="60" spans="1:73" x14ac:dyDescent="0.2">
      <c r="A60" s="23" t="s">
        <v>233</v>
      </c>
      <c r="B60" s="73">
        <f>Ireverse</f>
        <v>0</v>
      </c>
      <c r="C60" s="482" t="s">
        <v>68</v>
      </c>
      <c r="D60" s="76" t="s">
        <v>236</v>
      </c>
      <c r="E60" s="2"/>
      <c r="G60">
        <v>51</v>
      </c>
      <c r="H60" s="610">
        <f t="shared" si="0"/>
        <v>13.65</v>
      </c>
      <c r="I60" s="4" t="str">
        <f t="shared" si="1"/>
        <v>BUCK</v>
      </c>
      <c r="J60">
        <f t="shared" si="43"/>
        <v>1</v>
      </c>
      <c r="K60">
        <f t="shared" si="2"/>
        <v>12</v>
      </c>
      <c r="L60" s="4">
        <f t="shared" si="3"/>
        <v>11.721611721611721</v>
      </c>
      <c r="M60" s="4">
        <f t="shared" si="4"/>
        <v>12</v>
      </c>
      <c r="N60" s="386">
        <f t="shared" si="5"/>
        <v>0.88747262374069202</v>
      </c>
      <c r="O60" s="386">
        <f t="shared" si="58"/>
        <v>0</v>
      </c>
      <c r="P60" s="4">
        <f t="shared" si="6"/>
        <v>1.1642130231777903</v>
      </c>
      <c r="Q60" s="386">
        <f t="shared" si="7"/>
        <v>12.004705299601406</v>
      </c>
      <c r="R60" s="386">
        <f t="shared" si="8"/>
        <v>0.50217345940351965</v>
      </c>
      <c r="S60" s="386">
        <f t="shared" si="45"/>
        <v>1.9936180973837096E-2</v>
      </c>
      <c r="T60" s="386">
        <f t="shared" si="46"/>
        <v>0.52210964037735674</v>
      </c>
      <c r="U60" s="4">
        <f t="shared" si="9"/>
        <v>0.33607935116288262</v>
      </c>
      <c r="V60" s="386">
        <f t="shared" si="10"/>
        <v>2.2589866055612833E-4</v>
      </c>
      <c r="W60" s="386">
        <f t="shared" si="47"/>
        <v>2.2589866055612833E-4</v>
      </c>
      <c r="X60" s="386">
        <f t="shared" si="11"/>
        <v>3.7936571752897974</v>
      </c>
      <c r="Y60" s="386">
        <f t="shared" si="12"/>
        <v>2.8783669527255529E-2</v>
      </c>
      <c r="Z60" s="603">
        <f t="shared" si="48"/>
        <v>2.8783669527255529E-2</v>
      </c>
      <c r="AA60" s="386">
        <f t="shared" si="13"/>
        <v>11.30912451329241</v>
      </c>
      <c r="AB60" s="386">
        <f t="shared" si="14"/>
        <v>0.72900889436576233</v>
      </c>
      <c r="AC60" s="386">
        <f t="shared" si="15"/>
        <v>0.14014517045454544</v>
      </c>
      <c r="AD60">
        <f t="shared" si="16"/>
        <v>0</v>
      </c>
      <c r="AE60" s="386">
        <f t="shared" si="17"/>
        <v>1.0175086336210473</v>
      </c>
      <c r="AF60" s="386">
        <f t="shared" si="18"/>
        <v>4.0269904486013859</v>
      </c>
      <c r="AG60" s="386">
        <f t="shared" si="19"/>
        <v>9.2434916816822713E-2</v>
      </c>
      <c r="AH60" s="386">
        <f t="shared" si="20"/>
        <v>0.24</v>
      </c>
      <c r="AI60" s="386">
        <f t="shared" si="21"/>
        <v>0.33869639136929852</v>
      </c>
      <c r="AJ60" s="386">
        <f t="shared" si="22"/>
        <v>0</v>
      </c>
      <c r="AK60" s="386">
        <f t="shared" si="23"/>
        <v>0</v>
      </c>
      <c r="AL60" s="386">
        <f t="shared" si="24"/>
        <v>0</v>
      </c>
      <c r="AM60">
        <f t="shared" si="25"/>
        <v>0</v>
      </c>
      <c r="AN60" s="386">
        <f t="shared" si="26"/>
        <v>0</v>
      </c>
      <c r="AO60" s="386">
        <f t="shared" si="27"/>
        <v>12.004705299601406</v>
      </c>
      <c r="AP60" s="386">
        <f t="shared" si="28"/>
        <v>0.27381460372752836</v>
      </c>
      <c r="AQ60" s="386">
        <f t="shared" si="29"/>
        <v>0</v>
      </c>
      <c r="AR60" s="386">
        <f t="shared" si="30"/>
        <v>0.28967822966010298</v>
      </c>
      <c r="AS60" s="386">
        <f t="shared" si="31"/>
        <v>0.27381460372752836</v>
      </c>
      <c r="AT60" s="386">
        <f t="shared" si="32"/>
        <v>0</v>
      </c>
      <c r="AU60" s="386">
        <f t="shared" si="33"/>
        <v>0.21391019999999999</v>
      </c>
      <c r="AV60" s="386">
        <f t="shared" si="34"/>
        <v>6.4866608292507164E-2</v>
      </c>
      <c r="AW60" s="386">
        <f t="shared" si="35"/>
        <v>0.59328000000000003</v>
      </c>
      <c r="AX60" s="386">
        <f t="shared" si="36"/>
        <v>3.6000000000000004E-2</v>
      </c>
      <c r="AY60" s="386">
        <f t="shared" si="37"/>
        <v>6.6000000000000003E-2</v>
      </c>
      <c r="AZ60" s="386">
        <f t="shared" si="38"/>
        <v>4.3499999999999997E-2</v>
      </c>
      <c r="BA60" s="386">
        <f t="shared" si="56"/>
        <v>0.10200000000000001</v>
      </c>
      <c r="BB60" s="386">
        <f t="shared" si="57"/>
        <v>3.1710592715081241</v>
      </c>
      <c r="BC60">
        <f t="shared" si="39"/>
        <v>144</v>
      </c>
      <c r="BD60" s="604">
        <f t="shared" si="50"/>
        <v>0.97845324150546475</v>
      </c>
      <c r="BE60" s="614">
        <f t="shared" si="40"/>
        <v>61.570941681052361</v>
      </c>
      <c r="BF60" s="614">
        <f t="shared" si="41"/>
        <v>16.934819568464928</v>
      </c>
      <c r="BG60" s="9"/>
      <c r="BH60" s="4">
        <f t="shared" si="51"/>
        <v>97.845324150546475</v>
      </c>
      <c r="BI60" s="386">
        <f t="shared" si="52"/>
        <v>0.52210964037735674</v>
      </c>
      <c r="BJ60" s="386">
        <f t="shared" si="53"/>
        <v>1.8597934546504489</v>
      </c>
      <c r="BK60" s="386">
        <f t="shared" si="54"/>
        <v>0.40928675736929854</v>
      </c>
      <c r="BL60" s="386">
        <f t="shared" si="55"/>
        <v>6.4866608292507164E-2</v>
      </c>
      <c r="BR60" s="18"/>
      <c r="BS60" s="19"/>
    </row>
    <row r="61" spans="1:73" x14ac:dyDescent="0.2">
      <c r="A61" s="24" t="s">
        <v>121</v>
      </c>
      <c r="B61" s="15" t="s">
        <v>115</v>
      </c>
      <c r="C61" s="24" t="s">
        <v>80</v>
      </c>
      <c r="D61" s="24" t="s">
        <v>249</v>
      </c>
      <c r="G61">
        <v>52</v>
      </c>
      <c r="H61" s="610">
        <f t="shared" si="0"/>
        <v>13.8</v>
      </c>
      <c r="I61" s="4" t="str">
        <f t="shared" si="1"/>
        <v>BUCK</v>
      </c>
      <c r="J61">
        <f t="shared" si="43"/>
        <v>1</v>
      </c>
      <c r="K61">
        <f t="shared" si="2"/>
        <v>12</v>
      </c>
      <c r="L61" s="4">
        <f t="shared" si="3"/>
        <v>11.594202898550723</v>
      </c>
      <c r="M61" s="4">
        <f t="shared" si="4"/>
        <v>12</v>
      </c>
      <c r="N61" s="386">
        <f t="shared" si="5"/>
        <v>0.87785961871750418</v>
      </c>
      <c r="O61" s="386">
        <f t="shared" si="58"/>
        <v>0</v>
      </c>
      <c r="P61" s="4">
        <f t="shared" si="6"/>
        <v>1.2636695822117343</v>
      </c>
      <c r="Q61" s="386">
        <f t="shared" si="7"/>
        <v>12.005543375225349</v>
      </c>
      <c r="R61" s="386">
        <f t="shared" si="8"/>
        <v>0.50224639490871348</v>
      </c>
      <c r="S61" s="386">
        <f t="shared" si="45"/>
        <v>2.4080574979456777E-2</v>
      </c>
      <c r="T61" s="386">
        <f t="shared" si="46"/>
        <v>0.52632696988817029</v>
      </c>
      <c r="U61" s="4">
        <f t="shared" si="9"/>
        <v>0.3647899867283434</v>
      </c>
      <c r="V61" s="386">
        <f t="shared" si="10"/>
        <v>2.6614346883452989E-4</v>
      </c>
      <c r="W61" s="386">
        <f t="shared" si="47"/>
        <v>2.6614346883452989E-4</v>
      </c>
      <c r="X61" s="386">
        <f t="shared" si="11"/>
        <v>3.9311896242861435</v>
      </c>
      <c r="Y61" s="386">
        <f t="shared" si="12"/>
        <v>3.0908503724190059E-2</v>
      </c>
      <c r="Z61" s="603">
        <f t="shared" si="48"/>
        <v>3.0908503724190059E-2</v>
      </c>
      <c r="AA61" s="386">
        <f t="shared" si="13"/>
        <v>11.248493383442879</v>
      </c>
      <c r="AB61" s="386">
        <f t="shared" si="14"/>
        <v>0.72121303936494185</v>
      </c>
      <c r="AC61" s="386">
        <f t="shared" si="15"/>
        <v>0.14168522727272728</v>
      </c>
      <c r="AD61">
        <f t="shared" si="16"/>
        <v>0</v>
      </c>
      <c r="AE61" s="386">
        <f t="shared" si="17"/>
        <v>1.0083445081238605</v>
      </c>
      <c r="AF61" s="386">
        <f t="shared" si="18"/>
        <v>4.1957679079113808</v>
      </c>
      <c r="AG61" s="386">
        <f t="shared" si="19"/>
        <v>0.10034546952123656</v>
      </c>
      <c r="AH61" s="386">
        <f t="shared" si="20"/>
        <v>0.24</v>
      </c>
      <c r="AI61" s="386">
        <f t="shared" si="21"/>
        <v>0.34731578257618517</v>
      </c>
      <c r="AJ61" s="386">
        <f t="shared" si="22"/>
        <v>0</v>
      </c>
      <c r="AK61" s="386">
        <f t="shared" si="23"/>
        <v>0</v>
      </c>
      <c r="AL61" s="386">
        <f t="shared" si="24"/>
        <v>0</v>
      </c>
      <c r="AM61">
        <f t="shared" si="25"/>
        <v>0</v>
      </c>
      <c r="AN61" s="386">
        <f t="shared" si="26"/>
        <v>0</v>
      </c>
      <c r="AO61" s="386">
        <f t="shared" si="27"/>
        <v>12.005543375225349</v>
      </c>
      <c r="AP61" s="386">
        <f t="shared" si="28"/>
        <v>0.27385283629539281</v>
      </c>
      <c r="AQ61" s="386">
        <f t="shared" si="29"/>
        <v>0</v>
      </c>
      <c r="AR61" s="386">
        <f t="shared" si="30"/>
        <v>0.28972102096026597</v>
      </c>
      <c r="AS61" s="386">
        <f t="shared" si="31"/>
        <v>0.27385283629539281</v>
      </c>
      <c r="AT61" s="386">
        <f t="shared" si="32"/>
        <v>0</v>
      </c>
      <c r="AU61" s="386">
        <f t="shared" si="33"/>
        <v>0.21627270000000001</v>
      </c>
      <c r="AV61" s="386">
        <f t="shared" si="34"/>
        <v>7.0417873348236182E-2</v>
      </c>
      <c r="AW61" s="386">
        <f t="shared" si="35"/>
        <v>0.59328000000000003</v>
      </c>
      <c r="AX61" s="386">
        <f t="shared" si="36"/>
        <v>3.6000000000000004E-2</v>
      </c>
      <c r="AY61" s="386">
        <f t="shared" si="37"/>
        <v>6.6000000000000003E-2</v>
      </c>
      <c r="AZ61" s="386">
        <f t="shared" si="38"/>
        <v>4.3499999999999997E-2</v>
      </c>
      <c r="BA61" s="386">
        <f t="shared" si="56"/>
        <v>0.10200000000000001</v>
      </c>
      <c r="BB61" s="386">
        <f t="shared" si="57"/>
        <v>3.184853502089743</v>
      </c>
      <c r="BC61">
        <f t="shared" si="39"/>
        <v>144</v>
      </c>
      <c r="BD61" s="604">
        <f t="shared" si="50"/>
        <v>0.97836154042817647</v>
      </c>
      <c r="BE61" s="614">
        <f t="shared" si="40"/>
        <v>61.230860406193024</v>
      </c>
      <c r="BF61" s="614">
        <f t="shared" si="41"/>
        <v>17.365789128809258</v>
      </c>
      <c r="BG61" s="9"/>
      <c r="BH61" s="4">
        <f t="shared" si="51"/>
        <v>97.83615404281764</v>
      </c>
      <c r="BI61" s="386">
        <f t="shared" si="52"/>
        <v>0.52632696988817029</v>
      </c>
      <c r="BJ61" s="386">
        <f t="shared" si="53"/>
        <v>1.8616540116603117</v>
      </c>
      <c r="BK61" s="386">
        <f t="shared" si="54"/>
        <v>0.41868577357618519</v>
      </c>
      <c r="BL61" s="386">
        <f t="shared" si="55"/>
        <v>7.0417873348236182E-2</v>
      </c>
      <c r="BR61" s="18"/>
      <c r="BS61" s="19"/>
    </row>
    <row r="62" spans="1:73" ht="15.75" x14ac:dyDescent="0.3">
      <c r="A62" s="488" t="s">
        <v>678</v>
      </c>
      <c r="B62" s="74">
        <v>30</v>
      </c>
      <c r="C62" s="483" t="s">
        <v>241</v>
      </c>
      <c r="D62" s="76" t="s">
        <v>107</v>
      </c>
      <c r="G62">
        <v>53</v>
      </c>
      <c r="H62" s="610">
        <f t="shared" si="0"/>
        <v>13.95</v>
      </c>
      <c r="I62" s="4" t="str">
        <f t="shared" si="1"/>
        <v>BUCK</v>
      </c>
      <c r="J62">
        <f t="shared" si="43"/>
        <v>1</v>
      </c>
      <c r="K62">
        <f t="shared" si="2"/>
        <v>12</v>
      </c>
      <c r="L62" s="4">
        <f t="shared" si="3"/>
        <v>11.469534050179211</v>
      </c>
      <c r="M62" s="4">
        <f t="shared" si="4"/>
        <v>12</v>
      </c>
      <c r="N62" s="386">
        <f t="shared" si="5"/>
        <v>0.86845263609087009</v>
      </c>
      <c r="O62" s="386">
        <f t="shared" si="58"/>
        <v>0</v>
      </c>
      <c r="P62" s="4">
        <f t="shared" si="6"/>
        <v>1.3609946247640241</v>
      </c>
      <c r="Q62" s="386">
        <f t="shared" si="7"/>
        <v>12.006429896686736</v>
      </c>
      <c r="R62" s="386">
        <f t="shared" si="8"/>
        <v>0.50232355295931352</v>
      </c>
      <c r="S62" s="386">
        <f t="shared" si="45"/>
        <v>2.8569876561631905E-2</v>
      </c>
      <c r="T62" s="386">
        <f t="shared" si="46"/>
        <v>0.53089342952094543</v>
      </c>
      <c r="U62" s="4">
        <f t="shared" si="9"/>
        <v>0.39288530648657155</v>
      </c>
      <c r="V62" s="386">
        <f t="shared" si="10"/>
        <v>3.0871772810609453E-4</v>
      </c>
      <c r="W62" s="386">
        <f t="shared" si="47"/>
        <v>3.0871772810609453E-4</v>
      </c>
      <c r="X62" s="386">
        <f t="shared" si="11"/>
        <v>4.0581494157254578</v>
      </c>
      <c r="Y62" s="386">
        <f t="shared" si="12"/>
        <v>3.2937153360705754E-2</v>
      </c>
      <c r="Z62" s="603">
        <f t="shared" si="48"/>
        <v>3.2937153360705754E-2</v>
      </c>
      <c r="AA62" s="386">
        <f t="shared" si="13"/>
        <v>11.188888817012893</v>
      </c>
      <c r="AB62" s="386">
        <f t="shared" si="14"/>
        <v>0.71359002786901427</v>
      </c>
      <c r="AC62" s="386">
        <f t="shared" si="15"/>
        <v>0.14322528409090907</v>
      </c>
      <c r="AD62">
        <f t="shared" si="16"/>
        <v>0</v>
      </c>
      <c r="AE62" s="386">
        <f t="shared" si="17"/>
        <v>0.99945562548926958</v>
      </c>
      <c r="AF62" s="386">
        <f t="shared" si="18"/>
        <v>4.3546671405030368</v>
      </c>
      <c r="AG62" s="386">
        <f t="shared" si="19"/>
        <v>0.1080898176560883</v>
      </c>
      <c r="AH62" s="386">
        <f t="shared" si="20"/>
        <v>0.24</v>
      </c>
      <c r="AI62" s="386">
        <f t="shared" si="21"/>
        <v>0.35578108007014181</v>
      </c>
      <c r="AJ62" s="386">
        <f t="shared" si="22"/>
        <v>0</v>
      </c>
      <c r="AK62" s="386">
        <f t="shared" si="23"/>
        <v>0</v>
      </c>
      <c r="AL62" s="386">
        <f t="shared" si="24"/>
        <v>0</v>
      </c>
      <c r="AM62">
        <f t="shared" si="25"/>
        <v>0</v>
      </c>
      <c r="AN62" s="386">
        <f t="shared" si="26"/>
        <v>0</v>
      </c>
      <c r="AO62" s="386">
        <f t="shared" si="27"/>
        <v>12.006429896686736</v>
      </c>
      <c r="AP62" s="386">
        <f t="shared" si="28"/>
        <v>0.27389328184170086</v>
      </c>
      <c r="AQ62" s="386">
        <f t="shared" si="29"/>
        <v>0</v>
      </c>
      <c r="AR62" s="386">
        <f t="shared" si="30"/>
        <v>0.28976628986113268</v>
      </c>
      <c r="AS62" s="386">
        <f t="shared" si="31"/>
        <v>0.27389328184170086</v>
      </c>
      <c r="AT62" s="386">
        <f t="shared" si="32"/>
        <v>0</v>
      </c>
      <c r="AU62" s="386">
        <f t="shared" si="33"/>
        <v>0.21863519999999997</v>
      </c>
      <c r="AV62" s="386">
        <f t="shared" si="34"/>
        <v>7.5852503618307587E-2</v>
      </c>
      <c r="AW62" s="386">
        <f t="shared" si="35"/>
        <v>0.59328000000000003</v>
      </c>
      <c r="AX62" s="386">
        <f t="shared" si="36"/>
        <v>3.6000000000000004E-2</v>
      </c>
      <c r="AY62" s="386">
        <f t="shared" si="37"/>
        <v>6.6000000000000003E-2</v>
      </c>
      <c r="AZ62" s="386">
        <f t="shared" si="38"/>
        <v>4.3499999999999997E-2</v>
      </c>
      <c r="BA62" s="386">
        <f t="shared" si="56"/>
        <v>0.10200000000000001</v>
      </c>
      <c r="BB62" s="386">
        <f t="shared" si="57"/>
        <v>3.1989099996486092</v>
      </c>
      <c r="BC62">
        <f t="shared" si="39"/>
        <v>144</v>
      </c>
      <c r="BD62" s="604">
        <f t="shared" si="50"/>
        <v>0.97826811353659993</v>
      </c>
      <c r="BE62" s="614">
        <f t="shared" si="40"/>
        <v>60.904541274463476</v>
      </c>
      <c r="BF62" s="614">
        <f t="shared" si="41"/>
        <v>17.78905400350709</v>
      </c>
      <c r="BG62" s="9"/>
      <c r="BH62" s="4">
        <f t="shared" si="51"/>
        <v>97.826811353659991</v>
      </c>
      <c r="BI62" s="386">
        <f t="shared" si="52"/>
        <v>0.53089342952094543</v>
      </c>
      <c r="BJ62" s="386">
        <f t="shared" si="53"/>
        <v>1.8636381954205441</v>
      </c>
      <c r="BK62" s="386">
        <f t="shared" si="54"/>
        <v>0.42793069607014178</v>
      </c>
      <c r="BL62" s="386">
        <f t="shared" si="55"/>
        <v>7.5852503618307587E-2</v>
      </c>
      <c r="BR62" s="18"/>
      <c r="BS62" s="19"/>
    </row>
    <row r="63" spans="1:73" x14ac:dyDescent="0.2">
      <c r="A63" s="23" t="s">
        <v>122</v>
      </c>
      <c r="B63" s="74">
        <v>2</v>
      </c>
      <c r="C63" s="483" t="s">
        <v>241</v>
      </c>
      <c r="D63" s="21" t="s">
        <v>107</v>
      </c>
      <c r="G63">
        <v>54</v>
      </c>
      <c r="H63" s="610">
        <f t="shared" si="0"/>
        <v>14.100000000000001</v>
      </c>
      <c r="I63" s="4" t="str">
        <f t="shared" si="1"/>
        <v>BUCK</v>
      </c>
      <c r="J63">
        <f t="shared" si="43"/>
        <v>1</v>
      </c>
      <c r="K63">
        <f t="shared" si="2"/>
        <v>12</v>
      </c>
      <c r="L63" s="4">
        <f t="shared" si="3"/>
        <v>11.347517730496453</v>
      </c>
      <c r="M63" s="4">
        <f t="shared" si="4"/>
        <v>12</v>
      </c>
      <c r="N63" s="386">
        <f t="shared" si="5"/>
        <v>0.85924512298558087</v>
      </c>
      <c r="O63" s="386">
        <f t="shared" si="58"/>
        <v>0</v>
      </c>
      <c r="P63" s="4">
        <f t="shared" si="6"/>
        <v>1.4562559471604151</v>
      </c>
      <c r="Q63" s="386">
        <f t="shared" si="7"/>
        <v>12.007361219212015</v>
      </c>
      <c r="R63" s="386">
        <f t="shared" si="8"/>
        <v>0.50240461737603592</v>
      </c>
      <c r="S63" s="386">
        <f t="shared" si="45"/>
        <v>3.3388959382373566E-2</v>
      </c>
      <c r="T63" s="386">
        <f t="shared" si="46"/>
        <v>0.53579357675840944</v>
      </c>
      <c r="U63" s="4">
        <f t="shared" si="9"/>
        <v>0.42038488155102954</v>
      </c>
      <c r="V63" s="386">
        <f t="shared" si="10"/>
        <v>3.5344689727334627E-4</v>
      </c>
      <c r="W63" s="386">
        <f t="shared" si="47"/>
        <v>3.5344689727334627E-4</v>
      </c>
      <c r="X63" s="386">
        <f t="shared" si="11"/>
        <v>4.1757822076497897</v>
      </c>
      <c r="Y63" s="386">
        <f t="shared" si="12"/>
        <v>3.4874314091449102E-2</v>
      </c>
      <c r="Z63" s="603">
        <f t="shared" si="48"/>
        <v>3.4874314091449102E-2</v>
      </c>
      <c r="AA63" s="386">
        <f t="shared" si="13"/>
        <v>11.130280610626215</v>
      </c>
      <c r="AB63" s="386">
        <f t="shared" si="14"/>
        <v>0.70613393488630671</v>
      </c>
      <c r="AC63" s="386">
        <f t="shared" si="15"/>
        <v>0.14476534090909093</v>
      </c>
      <c r="AD63">
        <f t="shared" si="16"/>
        <v>0</v>
      </c>
      <c r="AE63" s="386">
        <f t="shared" si="17"/>
        <v>0.99083117974811297</v>
      </c>
      <c r="AF63" s="386">
        <f t="shared" si="18"/>
        <v>4.5048392842980283</v>
      </c>
      <c r="AG63" s="386">
        <f t="shared" si="19"/>
        <v>0.1156733887709222</v>
      </c>
      <c r="AH63" s="386">
        <f t="shared" si="20"/>
        <v>0.24</v>
      </c>
      <c r="AI63" s="386">
        <f t="shared" si="21"/>
        <v>0.3640966473794241</v>
      </c>
      <c r="AJ63" s="386">
        <f t="shared" si="22"/>
        <v>0</v>
      </c>
      <c r="AK63" s="386">
        <f t="shared" si="23"/>
        <v>0</v>
      </c>
      <c r="AL63" s="386">
        <f t="shared" si="24"/>
        <v>0</v>
      </c>
      <c r="AM63">
        <f t="shared" si="25"/>
        <v>0</v>
      </c>
      <c r="AN63" s="386">
        <f t="shared" si="26"/>
        <v>0</v>
      </c>
      <c r="AO63" s="386">
        <f t="shared" si="27"/>
        <v>12.007361219212015</v>
      </c>
      <c r="AP63" s="386">
        <f t="shared" si="28"/>
        <v>0.27393577455240964</v>
      </c>
      <c r="AQ63" s="386">
        <f t="shared" si="29"/>
        <v>0</v>
      </c>
      <c r="AR63" s="386">
        <f t="shared" si="30"/>
        <v>0.28981385089668987</v>
      </c>
      <c r="AS63" s="386">
        <f t="shared" si="31"/>
        <v>0.27393577455240964</v>
      </c>
      <c r="AT63" s="386">
        <f t="shared" si="32"/>
        <v>0</v>
      </c>
      <c r="AU63" s="386">
        <f t="shared" si="33"/>
        <v>0.22099770000000002</v>
      </c>
      <c r="AV63" s="386">
        <f t="shared" si="34"/>
        <v>8.1174307909419083E-2</v>
      </c>
      <c r="AW63" s="386">
        <f t="shared" si="35"/>
        <v>0.59328000000000003</v>
      </c>
      <c r="AX63" s="386">
        <f t="shared" si="36"/>
        <v>3.6000000000000004E-2</v>
      </c>
      <c r="AY63" s="386">
        <f t="shared" si="37"/>
        <v>6.6000000000000003E-2</v>
      </c>
      <c r="AZ63" s="386">
        <f t="shared" si="38"/>
        <v>4.3499999999999997E-2</v>
      </c>
      <c r="BA63" s="386">
        <f t="shared" si="56"/>
        <v>0.10200000000000001</v>
      </c>
      <c r="BB63" s="386">
        <f t="shared" si="57"/>
        <v>3.2132150236807777</v>
      </c>
      <c r="BC63">
        <f t="shared" si="39"/>
        <v>144</v>
      </c>
      <c r="BD63" s="604">
        <f t="shared" si="50"/>
        <v>0.97817305312458591</v>
      </c>
      <c r="BE63" s="614">
        <f t="shared" si="40"/>
        <v>60.591443987405647</v>
      </c>
      <c r="BF63" s="614">
        <f t="shared" si="41"/>
        <v>18.204832368971203</v>
      </c>
      <c r="BG63" s="9"/>
      <c r="BH63" s="4">
        <f t="shared" si="51"/>
        <v>97.817305312458586</v>
      </c>
      <c r="BI63" s="386">
        <f t="shared" si="52"/>
        <v>0.53579357675840944</v>
      </c>
      <c r="BJ63" s="386">
        <f t="shared" si="53"/>
        <v>1.8657393780242271</v>
      </c>
      <c r="BK63" s="386">
        <f t="shared" si="54"/>
        <v>0.43702588837942413</v>
      </c>
      <c r="BL63" s="386">
        <f t="shared" si="55"/>
        <v>8.1174307909419083E-2</v>
      </c>
      <c r="BR63" s="18"/>
      <c r="BS63" s="19"/>
    </row>
    <row r="64" spans="1:73" x14ac:dyDescent="0.2">
      <c r="A64" s="75"/>
      <c r="B64" s="30"/>
      <c r="G64">
        <v>55</v>
      </c>
      <c r="H64" s="610">
        <f t="shared" si="0"/>
        <v>14.25</v>
      </c>
      <c r="I64" s="4" t="str">
        <f t="shared" si="1"/>
        <v>BUCK</v>
      </c>
      <c r="J64">
        <f t="shared" si="43"/>
        <v>1</v>
      </c>
      <c r="K64">
        <f t="shared" si="2"/>
        <v>12</v>
      </c>
      <c r="L64" s="4">
        <f t="shared" si="3"/>
        <v>11.228070175438596</v>
      </c>
      <c r="M64" s="4">
        <f t="shared" si="4"/>
        <v>12</v>
      </c>
      <c r="N64" s="386">
        <f t="shared" si="5"/>
        <v>0.85023080151070074</v>
      </c>
      <c r="O64" s="386">
        <f t="shared" si="58"/>
        <v>0</v>
      </c>
      <c r="P64" s="4">
        <f t="shared" si="6"/>
        <v>1.5495185007276724</v>
      </c>
      <c r="Q64" s="386">
        <f t="shared" si="7"/>
        <v>12.00833393795082</v>
      </c>
      <c r="R64" s="386">
        <f t="shared" si="8"/>
        <v>0.50248929280530208</v>
      </c>
      <c r="S64" s="386">
        <f t="shared" si="45"/>
        <v>3.8522684526294738E-2</v>
      </c>
      <c r="T64" s="386">
        <f t="shared" si="46"/>
        <v>0.54101197733159678</v>
      </c>
      <c r="U64" s="4">
        <f t="shared" si="9"/>
        <v>0.44730746175471353</v>
      </c>
      <c r="V64" s="386">
        <f t="shared" si="10"/>
        <v>4.0016793068288904E-4</v>
      </c>
      <c r="W64" s="386">
        <f t="shared" si="47"/>
        <v>4.0016793068288904E-4</v>
      </c>
      <c r="X64" s="386">
        <f t="shared" si="11"/>
        <v>4.2851144565906818</v>
      </c>
      <c r="Y64" s="386">
        <f t="shared" si="12"/>
        <v>3.672441181216491E-2</v>
      </c>
      <c r="Z64" s="603">
        <f t="shared" si="48"/>
        <v>3.672441181216491E-2</v>
      </c>
      <c r="AA64" s="386">
        <f t="shared" si="13"/>
        <v>11.072639837354171</v>
      </c>
      <c r="AB64" s="386">
        <f t="shared" si="14"/>
        <v>0.69883911191624681</v>
      </c>
      <c r="AC64" s="386">
        <f t="shared" si="15"/>
        <v>0.14630539772727272</v>
      </c>
      <c r="AD64">
        <f t="shared" si="16"/>
        <v>0</v>
      </c>
      <c r="AE64" s="386">
        <f t="shared" si="17"/>
        <v>0.98246093512215382</v>
      </c>
      <c r="AF64" s="386">
        <f t="shared" si="18"/>
        <v>4.6472283134766297</v>
      </c>
      <c r="AG64" s="386">
        <f t="shared" si="19"/>
        <v>0.12310136668619938</v>
      </c>
      <c r="AH64" s="386">
        <f t="shared" si="20"/>
        <v>0.24</v>
      </c>
      <c r="AI64" s="386">
        <f t="shared" si="21"/>
        <v>0.37226667395327412</v>
      </c>
      <c r="AJ64" s="386">
        <f t="shared" si="22"/>
        <v>0</v>
      </c>
      <c r="AK64" s="386">
        <f t="shared" si="23"/>
        <v>0</v>
      </c>
      <c r="AL64" s="386">
        <f t="shared" si="24"/>
        <v>0</v>
      </c>
      <c r="AM64">
        <f t="shared" si="25"/>
        <v>0</v>
      </c>
      <c r="AN64" s="386">
        <f t="shared" si="26"/>
        <v>0</v>
      </c>
      <c r="AO64" s="386">
        <f t="shared" si="27"/>
        <v>12.00833393795082</v>
      </c>
      <c r="AP64" s="386">
        <f t="shared" si="28"/>
        <v>0.27398015953414873</v>
      </c>
      <c r="AQ64" s="386">
        <f t="shared" si="29"/>
        <v>0</v>
      </c>
      <c r="AR64" s="386">
        <f t="shared" si="30"/>
        <v>0.28986353081744792</v>
      </c>
      <c r="AS64" s="386">
        <f t="shared" si="31"/>
        <v>0.27398015953414873</v>
      </c>
      <c r="AT64" s="386">
        <f t="shared" si="32"/>
        <v>0</v>
      </c>
      <c r="AU64" s="386">
        <f t="shared" si="33"/>
        <v>0.22336019999999998</v>
      </c>
      <c r="AV64" s="386">
        <f t="shared" si="34"/>
        <v>8.6386923990315348E-2</v>
      </c>
      <c r="AW64" s="386">
        <f t="shared" si="35"/>
        <v>0.59328000000000003</v>
      </c>
      <c r="AX64" s="386">
        <f t="shared" si="36"/>
        <v>3.6000000000000004E-2</v>
      </c>
      <c r="AY64" s="386">
        <f t="shared" si="37"/>
        <v>6.6000000000000003E-2</v>
      </c>
      <c r="AZ64" s="386">
        <f t="shared" si="38"/>
        <v>4.3499999999999997E-2</v>
      </c>
      <c r="BA64" s="386">
        <f t="shared" si="56"/>
        <v>0.10200000000000001</v>
      </c>
      <c r="BB64" s="386">
        <f t="shared" si="57"/>
        <v>3.2277548209576357</v>
      </c>
      <c r="BC64">
        <f t="shared" si="39"/>
        <v>144</v>
      </c>
      <c r="BD64" s="604">
        <f t="shared" si="50"/>
        <v>0.97807645151634015</v>
      </c>
      <c r="BE64" s="614">
        <f t="shared" si="40"/>
        <v>60.291056756107686</v>
      </c>
      <c r="BF64" s="614">
        <f t="shared" si="41"/>
        <v>18.613333697663705</v>
      </c>
      <c r="BG64" s="9"/>
      <c r="BH64" s="4">
        <f t="shared" si="51"/>
        <v>97.80764515163402</v>
      </c>
      <c r="BI64" s="386">
        <f t="shared" si="52"/>
        <v>0.54101197733159678</v>
      </c>
      <c r="BJ64" s="386">
        <f t="shared" si="53"/>
        <v>1.8679513398928758</v>
      </c>
      <c r="BK64" s="386">
        <f t="shared" si="54"/>
        <v>0.4459755399532741</v>
      </c>
      <c r="BL64" s="386">
        <f t="shared" si="55"/>
        <v>8.6386923990315348E-2</v>
      </c>
      <c r="BR64" s="18"/>
      <c r="BS64" s="19"/>
    </row>
    <row r="65" spans="1:71" x14ac:dyDescent="0.2">
      <c r="G65">
        <v>56</v>
      </c>
      <c r="H65" s="610">
        <f t="shared" si="0"/>
        <v>14.4</v>
      </c>
      <c r="I65" s="4" t="str">
        <f t="shared" si="1"/>
        <v>BUCK</v>
      </c>
      <c r="J65">
        <f t="shared" si="43"/>
        <v>1</v>
      </c>
      <c r="K65">
        <f t="shared" si="2"/>
        <v>12</v>
      </c>
      <c r="L65" s="4">
        <f t="shared" si="3"/>
        <v>11.111111111111111</v>
      </c>
      <c r="M65" s="4">
        <f t="shared" si="4"/>
        <v>12</v>
      </c>
      <c r="N65" s="386">
        <f t="shared" si="5"/>
        <v>0.84140365448504972</v>
      </c>
      <c r="O65" s="386">
        <f t="shared" si="58"/>
        <v>0</v>
      </c>
      <c r="P65" s="4">
        <f t="shared" si="6"/>
        <v>1.6408445394783353</v>
      </c>
      <c r="Q65" s="386">
        <f t="shared" si="7"/>
        <v>12.009344871122709</v>
      </c>
      <c r="R65" s="386">
        <f t="shared" si="8"/>
        <v>0.50257730324896266</v>
      </c>
      <c r="S65" s="386">
        <f t="shared" si="45"/>
        <v>4.3956040841257218E-2</v>
      </c>
      <c r="T65" s="386">
        <f t="shared" si="46"/>
        <v>0.54653334409021992</v>
      </c>
      <c r="U65" s="4">
        <f t="shared" si="9"/>
        <v>0.47367101828307223</v>
      </c>
      <c r="V65" s="386">
        <f t="shared" si="10"/>
        <v>4.4872846712264511E-4</v>
      </c>
      <c r="W65" s="386">
        <f t="shared" si="47"/>
        <v>4.4872846712264511E-4</v>
      </c>
      <c r="X65" s="386">
        <f t="shared" si="11"/>
        <v>4.3870047180329861</v>
      </c>
      <c r="Y65" s="386">
        <f t="shared" si="12"/>
        <v>3.8491620792087358E-2</v>
      </c>
      <c r="Z65" s="603">
        <f t="shared" si="48"/>
        <v>3.8491620792087358E-2</v>
      </c>
      <c r="AA65" s="386">
        <f t="shared" si="13"/>
        <v>11.015938776695402</v>
      </c>
      <c r="AB65" s="386">
        <f t="shared" si="14"/>
        <v>0.69170017065183786</v>
      </c>
      <c r="AC65" s="386">
        <f t="shared" si="15"/>
        <v>0.14784545454545453</v>
      </c>
      <c r="AD65">
        <f t="shared" si="16"/>
        <v>0</v>
      </c>
      <c r="AE65" s="386">
        <f t="shared" si="17"/>
        <v>0.97433518841736932</v>
      </c>
      <c r="AF65" s="386">
        <f t="shared" si="18"/>
        <v>4.7826203175309585</v>
      </c>
      <c r="AG65" s="386">
        <f t="shared" si="19"/>
        <v>0.13037870547946159</v>
      </c>
      <c r="AH65" s="386">
        <f t="shared" si="20"/>
        <v>0.24</v>
      </c>
      <c r="AI65" s="386">
        <f t="shared" si="21"/>
        <v>0.38029518424381809</v>
      </c>
      <c r="AJ65" s="386">
        <f t="shared" si="22"/>
        <v>0</v>
      </c>
      <c r="AK65" s="386">
        <f t="shared" si="23"/>
        <v>0</v>
      </c>
      <c r="AL65" s="386">
        <f t="shared" si="24"/>
        <v>0</v>
      </c>
      <c r="AM65">
        <f t="shared" si="25"/>
        <v>0</v>
      </c>
      <c r="AN65" s="386">
        <f t="shared" si="26"/>
        <v>0</v>
      </c>
      <c r="AO65" s="386">
        <f t="shared" si="27"/>
        <v>12.009344871122709</v>
      </c>
      <c r="AP65" s="386">
        <f t="shared" si="28"/>
        <v>0.2740262920437665</v>
      </c>
      <c r="AQ65" s="386">
        <f t="shared" si="29"/>
        <v>0</v>
      </c>
      <c r="AR65" s="386">
        <f t="shared" si="30"/>
        <v>0.28991516772770015</v>
      </c>
      <c r="AS65" s="386">
        <f t="shared" si="31"/>
        <v>0.2740262920437665</v>
      </c>
      <c r="AT65" s="386">
        <f t="shared" si="32"/>
        <v>0</v>
      </c>
      <c r="AU65" s="386">
        <f t="shared" si="33"/>
        <v>0.2257227</v>
      </c>
      <c r="AV65" s="386">
        <f t="shared" si="34"/>
        <v>9.1493828406639707E-2</v>
      </c>
      <c r="AW65" s="386">
        <f t="shared" si="35"/>
        <v>0.59328000000000003</v>
      </c>
      <c r="AX65" s="386">
        <f t="shared" si="36"/>
        <v>3.6000000000000004E-2</v>
      </c>
      <c r="AY65" s="386">
        <f t="shared" si="37"/>
        <v>6.6000000000000003E-2</v>
      </c>
      <c r="AZ65" s="386">
        <f t="shared" si="38"/>
        <v>4.3499999999999997E-2</v>
      </c>
      <c r="BA65" s="386">
        <f t="shared" si="56"/>
        <v>0.10200000000000001</v>
      </c>
      <c r="BB65" s="386">
        <f t="shared" si="57"/>
        <v>3.242515762144957</v>
      </c>
      <c r="BC65">
        <f t="shared" si="39"/>
        <v>144</v>
      </c>
      <c r="BD65" s="604">
        <f t="shared" si="50"/>
        <v>0.9779784001559515</v>
      </c>
      <c r="BE65" s="614">
        <f t="shared" si="40"/>
        <v>60.002894420868472</v>
      </c>
      <c r="BF65" s="614">
        <f t="shared" si="41"/>
        <v>19.014759212190903</v>
      </c>
      <c r="BG65" s="9"/>
      <c r="BH65" s="4">
        <f t="shared" si="51"/>
        <v>97.797840015595156</v>
      </c>
      <c r="BI65" s="386">
        <f t="shared" si="52"/>
        <v>0.54653334409021992</v>
      </c>
      <c r="BJ65" s="386">
        <f t="shared" si="53"/>
        <v>1.8702682403888875</v>
      </c>
      <c r="BK65" s="386">
        <f t="shared" si="54"/>
        <v>0.45478367524381808</v>
      </c>
      <c r="BL65" s="386">
        <f t="shared" si="55"/>
        <v>9.1493828406639707E-2</v>
      </c>
      <c r="BR65" s="18"/>
      <c r="BS65" s="19"/>
    </row>
    <row r="66" spans="1:71" x14ac:dyDescent="0.2">
      <c r="A66" s="11" t="s">
        <v>81</v>
      </c>
      <c r="B66" s="31"/>
      <c r="C66" s="31"/>
      <c r="G66">
        <v>57</v>
      </c>
      <c r="H66" s="610">
        <f t="shared" si="0"/>
        <v>14.549999999999999</v>
      </c>
      <c r="I66" s="4" t="str">
        <f t="shared" si="1"/>
        <v>BUCK</v>
      </c>
      <c r="J66">
        <f t="shared" si="43"/>
        <v>1</v>
      </c>
      <c r="K66">
        <f t="shared" si="2"/>
        <v>12</v>
      </c>
      <c r="L66" s="4">
        <f t="shared" si="3"/>
        <v>10.996563573883163</v>
      </c>
      <c r="M66" s="4">
        <f t="shared" si="4"/>
        <v>12</v>
      </c>
      <c r="N66" s="386">
        <f t="shared" si="5"/>
        <v>0.83275791204274563</v>
      </c>
      <c r="O66" s="386">
        <f t="shared" si="58"/>
        <v>0</v>
      </c>
      <c r="P66" s="4">
        <f t="shared" si="6"/>
        <v>1.730293758690348</v>
      </c>
      <c r="Q66" s="386">
        <f t="shared" si="7"/>
        <v>12.010391044464244</v>
      </c>
      <c r="R66" s="386">
        <f t="shared" si="8"/>
        <v>0.50266839070851876</v>
      </c>
      <c r="S66" s="386">
        <f t="shared" si="45"/>
        <v>4.9674248967003572E-2</v>
      </c>
      <c r="T66" s="386">
        <f t="shared" si="46"/>
        <v>0.55234263967552233</v>
      </c>
      <c r="U66" s="4">
        <f t="shared" si="9"/>
        <v>0.49949278367850092</v>
      </c>
      <c r="V66" s="386">
        <f t="shared" si="10"/>
        <v>4.9898608189379544E-4</v>
      </c>
      <c r="W66" s="386">
        <f t="shared" si="47"/>
        <v>4.9898608189379544E-4</v>
      </c>
      <c r="X66" s="386">
        <f t="shared" si="11"/>
        <v>4.4821802955492487</v>
      </c>
      <c r="Y66" s="386">
        <f t="shared" si="12"/>
        <v>4.0179880403619896E-2</v>
      </c>
      <c r="Z66" s="603">
        <f t="shared" si="48"/>
        <v>4.0179880403619896E-2</v>
      </c>
      <c r="AA66" s="386">
        <f t="shared" si="13"/>
        <v>10.960150849235767</v>
      </c>
      <c r="AB66" s="386">
        <f t="shared" si="14"/>
        <v>0.68471196783661992</v>
      </c>
      <c r="AC66" s="386">
        <f t="shared" si="15"/>
        <v>0.14938551136363634</v>
      </c>
      <c r="AD66">
        <f t="shared" si="16"/>
        <v>0</v>
      </c>
      <c r="AE66" s="386">
        <f t="shared" si="17"/>
        <v>0.96644473437628076</v>
      </c>
      <c r="AF66" s="386">
        <f t="shared" si="18"/>
        <v>4.9116785728448678</v>
      </c>
      <c r="AG66" s="386">
        <f t="shared" si="19"/>
        <v>0.13751014249677737</v>
      </c>
      <c r="AH66" s="386">
        <f t="shared" si="20"/>
        <v>0.24</v>
      </c>
      <c r="AI66" s="386">
        <f t="shared" si="21"/>
        <v>0.38818604620249042</v>
      </c>
      <c r="AJ66" s="386">
        <f t="shared" si="22"/>
        <v>0</v>
      </c>
      <c r="AK66" s="386">
        <f t="shared" si="23"/>
        <v>0</v>
      </c>
      <c r="AL66" s="386">
        <f t="shared" si="24"/>
        <v>0</v>
      </c>
      <c r="AM66">
        <f t="shared" si="25"/>
        <v>0</v>
      </c>
      <c r="AN66" s="386">
        <f t="shared" si="26"/>
        <v>0</v>
      </c>
      <c r="AO66" s="386">
        <f t="shared" si="27"/>
        <v>12.010391044464244</v>
      </c>
      <c r="AP66" s="386">
        <f t="shared" si="28"/>
        <v>0.27407403677779918</v>
      </c>
      <c r="AQ66" s="386">
        <f t="shared" si="29"/>
        <v>0</v>
      </c>
      <c r="AR66" s="386">
        <f t="shared" si="30"/>
        <v>0.28996861029000526</v>
      </c>
      <c r="AS66" s="386">
        <f t="shared" si="31"/>
        <v>0.27407403677779918</v>
      </c>
      <c r="AT66" s="386">
        <f t="shared" si="32"/>
        <v>0</v>
      </c>
      <c r="AU66" s="386">
        <f t="shared" si="33"/>
        <v>0.22808519999999999</v>
      </c>
      <c r="AV66" s="386">
        <f t="shared" si="34"/>
        <v>9.6498345611773589E-2</v>
      </c>
      <c r="AW66" s="386">
        <f t="shared" si="35"/>
        <v>0.59328000000000003</v>
      </c>
      <c r="AX66" s="386">
        <f t="shared" si="36"/>
        <v>3.6000000000000004E-2</v>
      </c>
      <c r="AY66" s="386">
        <f t="shared" si="37"/>
        <v>6.6000000000000003E-2</v>
      </c>
      <c r="AZ66" s="386">
        <f t="shared" si="38"/>
        <v>4.3499999999999997E-2</v>
      </c>
      <c r="BA66" s="386">
        <f t="shared" si="56"/>
        <v>0.10200000000000001</v>
      </c>
      <c r="BB66" s="386">
        <f t="shared" si="57"/>
        <v>3.2574844426415859</v>
      </c>
      <c r="BC66">
        <f t="shared" si="39"/>
        <v>144</v>
      </c>
      <c r="BD66" s="604">
        <f t="shared" si="50"/>
        <v>0.97787898893580238</v>
      </c>
      <c r="BE66" s="614">
        <f t="shared" si="40"/>
        <v>59.72649671881404</v>
      </c>
      <c r="BF66" s="614">
        <f t="shared" si="41"/>
        <v>19.40930231012452</v>
      </c>
      <c r="BG66" s="9"/>
      <c r="BH66" s="4">
        <f t="shared" si="51"/>
        <v>97.787898893580234</v>
      </c>
      <c r="BI66" s="386">
        <f t="shared" si="52"/>
        <v>0.55234263967552233</v>
      </c>
      <c r="BJ66" s="386">
        <f t="shared" si="53"/>
        <v>1.8726845908687764</v>
      </c>
      <c r="BK66" s="386">
        <f t="shared" si="54"/>
        <v>0.46345416220249042</v>
      </c>
      <c r="BL66" s="386">
        <f t="shared" si="55"/>
        <v>9.6498345611773589E-2</v>
      </c>
      <c r="BR66" s="18"/>
      <c r="BS66" s="19"/>
    </row>
    <row r="67" spans="1:71" x14ac:dyDescent="0.2">
      <c r="A67" s="14" t="s">
        <v>59</v>
      </c>
      <c r="B67" s="15" t="s">
        <v>8</v>
      </c>
      <c r="C67" s="15" t="s">
        <v>80</v>
      </c>
      <c r="G67">
        <v>58</v>
      </c>
      <c r="H67" s="610">
        <f t="shared" si="0"/>
        <v>14.7</v>
      </c>
      <c r="I67" s="4" t="str">
        <f t="shared" si="1"/>
        <v>BUCK</v>
      </c>
      <c r="J67">
        <f t="shared" si="43"/>
        <v>1</v>
      </c>
      <c r="K67">
        <f t="shared" si="2"/>
        <v>12</v>
      </c>
      <c r="L67" s="4">
        <f t="shared" si="3"/>
        <v>10.884353741496598</v>
      </c>
      <c r="M67" s="4">
        <f t="shared" si="4"/>
        <v>12</v>
      </c>
      <c r="N67" s="386">
        <f t="shared" si="5"/>
        <v>0.82428803905614323</v>
      </c>
      <c r="O67" s="386">
        <f t="shared" si="58"/>
        <v>0</v>
      </c>
      <c r="P67" s="4">
        <f t="shared" si="6"/>
        <v>1.8179234250298635</v>
      </c>
      <c r="Q67" s="386">
        <f t="shared" si="7"/>
        <v>12.011469676866053</v>
      </c>
      <c r="R67" s="386">
        <f t="shared" si="8"/>
        <v>0.50276231393399151</v>
      </c>
      <c r="S67" s="386">
        <f t="shared" si="45"/>
        <v>5.5662837982129461E-2</v>
      </c>
      <c r="T67" s="386">
        <f t="shared" si="46"/>
        <v>0.55842515191612097</v>
      </c>
      <c r="U67" s="4">
        <f t="shared" si="9"/>
        <v>0.52478928940355907</v>
      </c>
      <c r="V67" s="386">
        <f t="shared" si="10"/>
        <v>5.5080759654538498E-4</v>
      </c>
      <c r="W67" s="386">
        <f t="shared" si="47"/>
        <v>5.5080759654538498E-4</v>
      </c>
      <c r="X67" s="386">
        <f t="shared" si="11"/>
        <v>4.5712640796699118</v>
      </c>
      <c r="Y67" s="386">
        <f t="shared" si="12"/>
        <v>4.1792910572160814E-2</v>
      </c>
      <c r="Z67" s="603">
        <f t="shared" si="48"/>
        <v>4.1792910572160814E-2</v>
      </c>
      <c r="AA67" s="386">
        <f t="shared" si="13"/>
        <v>10.905250555622802</v>
      </c>
      <c r="AB67" s="386">
        <f t="shared" si="14"/>
        <v>0.67786959118119516</v>
      </c>
      <c r="AC67" s="386">
        <f t="shared" si="15"/>
        <v>0.15092556818181815</v>
      </c>
      <c r="AD67">
        <f t="shared" si="16"/>
        <v>0</v>
      </c>
      <c r="AE67" s="386">
        <f t="shared" si="17"/>
        <v>0.95878083372027956</v>
      </c>
      <c r="AF67" s="386">
        <f t="shared" si="18"/>
        <v>5.0349691277465896</v>
      </c>
      <c r="AG67" s="386">
        <f t="shared" si="19"/>
        <v>0.14450021046895914</v>
      </c>
      <c r="AH67" s="386">
        <f t="shared" si="20"/>
        <v>0.24</v>
      </c>
      <c r="AI67" s="386">
        <f t="shared" si="21"/>
        <v>0.39594297923560956</v>
      </c>
      <c r="AJ67" s="386">
        <f t="shared" si="22"/>
        <v>0</v>
      </c>
      <c r="AK67" s="386">
        <f t="shared" si="23"/>
        <v>0</v>
      </c>
      <c r="AL67" s="386">
        <f t="shared" si="24"/>
        <v>0</v>
      </c>
      <c r="AM67">
        <f t="shared" si="25"/>
        <v>0</v>
      </c>
      <c r="AN67" s="386">
        <f t="shared" si="26"/>
        <v>0</v>
      </c>
      <c r="AO67" s="386">
        <f t="shared" si="27"/>
        <v>12.011469676866053</v>
      </c>
      <c r="AP67" s="386">
        <f t="shared" si="28"/>
        <v>0.27412326721671809</v>
      </c>
      <c r="AQ67" s="386">
        <f t="shared" si="29"/>
        <v>0</v>
      </c>
      <c r="AR67" s="386">
        <f t="shared" si="30"/>
        <v>0.29002371699110585</v>
      </c>
      <c r="AS67" s="386">
        <f t="shared" si="31"/>
        <v>0.27412326721671809</v>
      </c>
      <c r="AT67" s="386">
        <f t="shared" si="32"/>
        <v>0</v>
      </c>
      <c r="AU67" s="386">
        <f t="shared" si="33"/>
        <v>0.23044769999999998</v>
      </c>
      <c r="AV67" s="386">
        <f t="shared" si="34"/>
        <v>0.10140365646944502</v>
      </c>
      <c r="AW67" s="386">
        <f t="shared" si="35"/>
        <v>0.59328000000000003</v>
      </c>
      <c r="AX67" s="386">
        <f t="shared" si="36"/>
        <v>3.6000000000000004E-2</v>
      </c>
      <c r="AY67" s="386">
        <f t="shared" si="37"/>
        <v>6.6000000000000003E-2</v>
      </c>
      <c r="AZ67" s="386">
        <f t="shared" si="38"/>
        <v>4.3499999999999997E-2</v>
      </c>
      <c r="BA67" s="386">
        <f t="shared" si="56"/>
        <v>0.10200000000000001</v>
      </c>
      <c r="BB67" s="386">
        <f t="shared" si="57"/>
        <v>3.272647756501267</v>
      </c>
      <c r="BC67">
        <f t="shared" si="39"/>
        <v>144</v>
      </c>
      <c r="BD67" s="604">
        <f t="shared" si="50"/>
        <v>0.97777830570472102</v>
      </c>
      <c r="BE67" s="614">
        <f t="shared" si="40"/>
        <v>59.461426686013972</v>
      </c>
      <c r="BF67" s="614">
        <f t="shared" si="41"/>
        <v>19.797148961780479</v>
      </c>
      <c r="BG67" s="9"/>
      <c r="BH67" s="4">
        <f t="shared" si="51"/>
        <v>97.777830570472105</v>
      </c>
      <c r="BI67" s="386">
        <f t="shared" si="52"/>
        <v>0.55842515191612097</v>
      </c>
      <c r="BJ67" s="386">
        <f t="shared" si="53"/>
        <v>1.8751952299469949</v>
      </c>
      <c r="BK67" s="386">
        <f t="shared" si="54"/>
        <v>0.47199072023560956</v>
      </c>
      <c r="BL67" s="386">
        <f t="shared" si="55"/>
        <v>0.10140365646944502</v>
      </c>
      <c r="BR67" s="18"/>
      <c r="BS67" s="19"/>
    </row>
    <row r="68" spans="1:71" x14ac:dyDescent="0.2">
      <c r="A68" s="32" t="s">
        <v>244</v>
      </c>
      <c r="B68" s="491" t="e">
        <f>#REF!</f>
        <v>#REF!</v>
      </c>
      <c r="C68" s="21" t="s">
        <v>19</v>
      </c>
      <c r="G68">
        <v>59</v>
      </c>
      <c r="H68" s="610">
        <f t="shared" si="0"/>
        <v>14.85</v>
      </c>
      <c r="I68" s="4" t="str">
        <f t="shared" si="1"/>
        <v>BUCK</v>
      </c>
      <c r="J68">
        <f t="shared" si="43"/>
        <v>1</v>
      </c>
      <c r="K68">
        <f t="shared" si="2"/>
        <v>12</v>
      </c>
      <c r="L68" s="4">
        <f t="shared" si="3"/>
        <v>10.774410774410775</v>
      </c>
      <c r="M68" s="4">
        <f t="shared" si="4"/>
        <v>12</v>
      </c>
      <c r="N68" s="386">
        <f t="shared" si="5"/>
        <v>0.8159887233185662</v>
      </c>
      <c r="O68" s="386">
        <f t="shared" si="58"/>
        <v>0</v>
      </c>
      <c r="P68" s="4">
        <f t="shared" si="6"/>
        <v>1.9037884988132068</v>
      </c>
      <c r="Q68" s="386">
        <f t="shared" si="7"/>
        <v>12.012578167099869</v>
      </c>
      <c r="R68" s="386">
        <f t="shared" si="8"/>
        <v>0.50285884726853325</v>
      </c>
      <c r="S68" s="386">
        <f t="shared" si="45"/>
        <v>6.1907701162657439E-2</v>
      </c>
      <c r="T68" s="386">
        <f t="shared" si="46"/>
        <v>0.56476654843119067</v>
      </c>
      <c r="U68" s="4">
        <f t="shared" si="9"/>
        <v>0.54957640113495931</v>
      </c>
      <c r="V68" s="386">
        <f t="shared" si="10"/>
        <v>6.0406844136890749E-4</v>
      </c>
      <c r="W68" s="386">
        <f t="shared" si="47"/>
        <v>6.0406844136890749E-4</v>
      </c>
      <c r="X68" s="386">
        <f t="shared" si="11"/>
        <v>4.654794627957374</v>
      </c>
      <c r="Y68" s="386">
        <f t="shared" si="12"/>
        <v>4.3334226056921658E-2</v>
      </c>
      <c r="Z68" s="603">
        <f t="shared" si="48"/>
        <v>4.3334226056921658E-2</v>
      </c>
      <c r="AA68" s="386">
        <f t="shared" si="13"/>
        <v>10.851213419521725</v>
      </c>
      <c r="AB68" s="386">
        <f t="shared" si="14"/>
        <v>0.67116834625324773</v>
      </c>
      <c r="AC68" s="386">
        <f t="shared" si="15"/>
        <v>0.15246562499999999</v>
      </c>
      <c r="AD68">
        <f t="shared" si="16"/>
        <v>0</v>
      </c>
      <c r="AE68" s="386">
        <f t="shared" si="17"/>
        <v>0.95133518364056069</v>
      </c>
      <c r="AF68" s="386">
        <f t="shared" si="18"/>
        <v>5.1529798703930618</v>
      </c>
      <c r="AG68" s="386">
        <f t="shared" si="19"/>
        <v>0.15135324880465376</v>
      </c>
      <c r="AH68" s="386">
        <f t="shared" si="20"/>
        <v>0.24</v>
      </c>
      <c r="AI68" s="386">
        <f t="shared" si="21"/>
        <v>0.40356956165983082</v>
      </c>
      <c r="AJ68" s="386">
        <f t="shared" si="22"/>
        <v>0</v>
      </c>
      <c r="AK68" s="386">
        <f t="shared" si="23"/>
        <v>0</v>
      </c>
      <c r="AL68" s="386">
        <f t="shared" si="24"/>
        <v>0</v>
      </c>
      <c r="AM68">
        <f t="shared" si="25"/>
        <v>0</v>
      </c>
      <c r="AN68" s="386">
        <f t="shared" si="26"/>
        <v>0</v>
      </c>
      <c r="AO68" s="386">
        <f t="shared" si="27"/>
        <v>12.012578167099869</v>
      </c>
      <c r="AP68" s="386">
        <f t="shared" si="28"/>
        <v>0.27417386501930047</v>
      </c>
      <c r="AQ68" s="386">
        <f t="shared" si="29"/>
        <v>0</v>
      </c>
      <c r="AR68" s="386">
        <f t="shared" si="30"/>
        <v>0.29008035546405075</v>
      </c>
      <c r="AS68" s="386">
        <f t="shared" si="31"/>
        <v>0.27417386501930047</v>
      </c>
      <c r="AT68" s="386">
        <f t="shared" si="32"/>
        <v>0</v>
      </c>
      <c r="AU68" s="386">
        <f t="shared" si="33"/>
        <v>0.23281019999999999</v>
      </c>
      <c r="AV68" s="386">
        <f t="shared" si="34"/>
        <v>0.10621280617870439</v>
      </c>
      <c r="AW68" s="386">
        <f t="shared" si="35"/>
        <v>0.59328000000000003</v>
      </c>
      <c r="AX68" s="386">
        <f t="shared" si="36"/>
        <v>3.6000000000000004E-2</v>
      </c>
      <c r="AY68" s="386">
        <f t="shared" si="37"/>
        <v>6.6000000000000003E-2</v>
      </c>
      <c r="AZ68" s="386">
        <f t="shared" si="38"/>
        <v>4.3499999999999997E-2</v>
      </c>
      <c r="BA68" s="386">
        <f t="shared" si="56"/>
        <v>0.10200000000000001</v>
      </c>
      <c r="BB68" s="386">
        <f t="shared" si="57"/>
        <v>3.2879929498726277</v>
      </c>
      <c r="BC68">
        <f t="shared" si="39"/>
        <v>144</v>
      </c>
      <c r="BD68" s="604">
        <f t="shared" si="50"/>
        <v>0.97767643591292841</v>
      </c>
      <c r="BE68" s="614">
        <f t="shared" si="40"/>
        <v>59.207269182028035</v>
      </c>
      <c r="BF68" s="614">
        <f t="shared" si="41"/>
        <v>20.178478082991543</v>
      </c>
      <c r="BG68" s="9"/>
      <c r="BH68" s="4">
        <f t="shared" si="51"/>
        <v>97.767643591292838</v>
      </c>
      <c r="BI68" s="386">
        <f t="shared" si="52"/>
        <v>0.56476654843119067</v>
      </c>
      <c r="BJ68" s="386">
        <f t="shared" si="53"/>
        <v>1.8777953007644423</v>
      </c>
      <c r="BK68" s="386">
        <f t="shared" si="54"/>
        <v>0.48039692765983083</v>
      </c>
      <c r="BL68" s="386">
        <f t="shared" si="55"/>
        <v>0.10621280617870439</v>
      </c>
      <c r="BR68" s="18"/>
      <c r="BS68" s="19"/>
    </row>
    <row r="69" spans="1:71" x14ac:dyDescent="0.2">
      <c r="A69" s="23" t="s">
        <v>82</v>
      </c>
      <c r="B69" s="491" t="e">
        <f>1-B68</f>
        <v>#REF!</v>
      </c>
      <c r="C69" s="21" t="s">
        <v>19</v>
      </c>
      <c r="G69">
        <v>60</v>
      </c>
      <c r="H69" s="610">
        <f t="shared" si="0"/>
        <v>15</v>
      </c>
      <c r="I69" s="4" t="str">
        <f t="shared" si="1"/>
        <v>BUCK</v>
      </c>
      <c r="J69">
        <f t="shared" si="43"/>
        <v>1</v>
      </c>
      <c r="K69">
        <f t="shared" si="2"/>
        <v>12</v>
      </c>
      <c r="L69" s="4">
        <f t="shared" si="3"/>
        <v>10.666666666666666</v>
      </c>
      <c r="M69" s="4">
        <f t="shared" si="4"/>
        <v>12</v>
      </c>
      <c r="N69" s="386">
        <f t="shared" si="5"/>
        <v>0.80785486443381171</v>
      </c>
      <c r="O69" s="386">
        <f t="shared" si="58"/>
        <v>0</v>
      </c>
      <c r="P69" s="4">
        <f t="shared" si="6"/>
        <v>1.987941748956531</v>
      </c>
      <c r="Q69" s="386">
        <f t="shared" si="7"/>
        <v>12.013714081544627</v>
      </c>
      <c r="R69" s="386">
        <f t="shared" si="8"/>
        <v>0.50295777958069399</v>
      </c>
      <c r="S69" s="386">
        <f t="shared" si="45"/>
        <v>6.8395135663489759E-2</v>
      </c>
      <c r="T69" s="386">
        <f t="shared" si="46"/>
        <v>0.57135291524418375</v>
      </c>
      <c r="U69" s="4">
        <f t="shared" si="9"/>
        <v>0.57386935194667432</v>
      </c>
      <c r="V69" s="386">
        <f t="shared" si="10"/>
        <v>6.5865206620739191E-4</v>
      </c>
      <c r="W69" s="386">
        <f t="shared" si="47"/>
        <v>6.5865206620739191E-4</v>
      </c>
      <c r="X69" s="386">
        <f t="shared" si="11"/>
        <v>4.7332414719129536</v>
      </c>
      <c r="Y69" s="386">
        <f t="shared" si="12"/>
        <v>4.4807149662873406E-2</v>
      </c>
      <c r="Z69" s="603">
        <f t="shared" si="48"/>
        <v>4.4807149662873406E-2</v>
      </c>
      <c r="AA69" s="386">
        <f t="shared" si="13"/>
        <v>10.798015934249049</v>
      </c>
      <c r="AB69" s="386">
        <f t="shared" si="14"/>
        <v>0.66460374426288926</v>
      </c>
      <c r="AC69" s="386">
        <f t="shared" si="15"/>
        <v>0.15400568181818181</v>
      </c>
      <c r="AD69">
        <f t="shared" si="16"/>
        <v>0</v>
      </c>
      <c r="AE69" s="386">
        <f t="shared" si="17"/>
        <v>0.94409989052072218</v>
      </c>
      <c r="AF69" s="386">
        <f t="shared" si="18"/>
        <v>5.2661350074610978</v>
      </c>
      <c r="AG69" s="386">
        <f t="shared" si="19"/>
        <v>0.15807341412580159</v>
      </c>
      <c r="AH69" s="386">
        <f t="shared" si="20"/>
        <v>0.24</v>
      </c>
      <c r="AI69" s="386">
        <f t="shared" si="21"/>
        <v>0.41106923769469994</v>
      </c>
      <c r="AJ69" s="386">
        <f t="shared" si="22"/>
        <v>0</v>
      </c>
      <c r="AK69" s="386">
        <f t="shared" si="23"/>
        <v>0</v>
      </c>
      <c r="AL69" s="386">
        <f t="shared" si="24"/>
        <v>0</v>
      </c>
      <c r="AM69">
        <f t="shared" si="25"/>
        <v>0</v>
      </c>
      <c r="AN69" s="386">
        <f t="shared" si="26"/>
        <v>0</v>
      </c>
      <c r="AO69" s="386">
        <f t="shared" si="27"/>
        <v>12.013714081544627</v>
      </c>
      <c r="AP69" s="386">
        <f t="shared" si="28"/>
        <v>0.27422571946289692</v>
      </c>
      <c r="AQ69" s="386">
        <f t="shared" si="29"/>
        <v>0</v>
      </c>
      <c r="AR69" s="386">
        <f t="shared" si="30"/>
        <v>0.29013840186176865</v>
      </c>
      <c r="AS69" s="386">
        <f t="shared" si="31"/>
        <v>0.27422571946289692</v>
      </c>
      <c r="AT69" s="386">
        <f t="shared" si="32"/>
        <v>0</v>
      </c>
      <c r="AU69" s="386">
        <f t="shared" si="33"/>
        <v>0.23517269999999998</v>
      </c>
      <c r="AV69" s="386">
        <f t="shared" si="34"/>
        <v>0.11092871166722919</v>
      </c>
      <c r="AW69" s="386">
        <f t="shared" si="35"/>
        <v>0.59328000000000003</v>
      </c>
      <c r="AX69" s="386">
        <f t="shared" si="36"/>
        <v>3.6000000000000004E-2</v>
      </c>
      <c r="AY69" s="386">
        <f t="shared" si="37"/>
        <v>6.6000000000000003E-2</v>
      </c>
      <c r="AZ69" s="386">
        <f t="shared" si="38"/>
        <v>4.3499999999999997E-2</v>
      </c>
      <c r="BA69" s="386">
        <f t="shared" si="56"/>
        <v>0.10200000000000001</v>
      </c>
      <c r="BB69" s="386">
        <f t="shared" si="57"/>
        <v>3.3035076587176841</v>
      </c>
      <c r="BC69">
        <f t="shared" si="39"/>
        <v>144</v>
      </c>
      <c r="BD69" s="604">
        <f t="shared" si="50"/>
        <v>0.97757346236199982</v>
      </c>
      <c r="BE69" s="614">
        <f t="shared" si="40"/>
        <v>58.963629526036108</v>
      </c>
      <c r="BF69" s="614">
        <f t="shared" si="41"/>
        <v>20.553461884734997</v>
      </c>
      <c r="BG69" s="9"/>
      <c r="BH69" s="4">
        <f t="shared" si="51"/>
        <v>97.757346236199979</v>
      </c>
      <c r="BI69" s="386">
        <f t="shared" si="52"/>
        <v>0.57135291524418375</v>
      </c>
      <c r="BJ69" s="386">
        <f t="shared" si="53"/>
        <v>1.8804802300771908</v>
      </c>
      <c r="BK69" s="386">
        <f t="shared" si="54"/>
        <v>0.48867622869469995</v>
      </c>
      <c r="BL69" s="386">
        <f t="shared" si="55"/>
        <v>0.11092871166722919</v>
      </c>
      <c r="BR69" s="18"/>
      <c r="BS69" s="19"/>
    </row>
    <row r="70" spans="1:71" x14ac:dyDescent="0.2">
      <c r="A70" s="33" t="s">
        <v>245</v>
      </c>
      <c r="B70" s="491">
        <f>Iripple_Vinnom</f>
        <v>3.8183890577507588E-2</v>
      </c>
      <c r="C70" s="21" t="s">
        <v>2</v>
      </c>
      <c r="G70">
        <v>61</v>
      </c>
      <c r="H70" s="610">
        <f t="shared" si="0"/>
        <v>15.15</v>
      </c>
      <c r="I70" s="4" t="str">
        <f t="shared" si="1"/>
        <v>BUCK</v>
      </c>
      <c r="J70">
        <f t="shared" si="43"/>
        <v>1</v>
      </c>
      <c r="K70">
        <f t="shared" si="2"/>
        <v>12</v>
      </c>
      <c r="L70" s="4">
        <f t="shared" si="3"/>
        <v>10.561056105610561</v>
      </c>
      <c r="M70" s="4">
        <f t="shared" si="4"/>
        <v>12</v>
      </c>
      <c r="N70" s="386">
        <f t="shared" si="5"/>
        <v>0.79988156336360039</v>
      </c>
      <c r="O70" s="386">
        <f t="shared" si="58"/>
        <v>0</v>
      </c>
      <c r="P70" s="4">
        <f t="shared" si="6"/>
        <v>2.0704338611183446</v>
      </c>
      <c r="Q70" s="386">
        <f t="shared" si="7"/>
        <v>12.01487514282908</v>
      </c>
      <c r="R70" s="386">
        <f t="shared" si="8"/>
        <v>0.50305891327701602</v>
      </c>
      <c r="S70" s="386">
        <f t="shared" si="45"/>
        <v>7.5111869744497489E-2</v>
      </c>
      <c r="T70" s="386">
        <f t="shared" si="46"/>
        <v>0.57817078302151348</v>
      </c>
      <c r="U70" s="4">
        <f t="shared" si="9"/>
        <v>0.59768277352799626</v>
      </c>
      <c r="V70" s="386">
        <f t="shared" si="10"/>
        <v>7.1444939554423618E-4</v>
      </c>
      <c r="W70" s="386">
        <f t="shared" si="47"/>
        <v>7.1444939554423618E-4</v>
      </c>
      <c r="X70" s="386">
        <f t="shared" si="11"/>
        <v>4.8070169790828139</v>
      </c>
      <c r="Y70" s="386">
        <f t="shared" si="12"/>
        <v>4.6214824474380925E-2</v>
      </c>
      <c r="Z70" s="603">
        <f t="shared" si="48"/>
        <v>4.6214824474380925E-2</v>
      </c>
      <c r="AA70" s="386">
        <f t="shared" si="13"/>
        <v>10.745635512806327</v>
      </c>
      <c r="AB70" s="386">
        <f t="shared" si="14"/>
        <v>0.65817149067228164</v>
      </c>
      <c r="AC70" s="386">
        <f t="shared" si="15"/>
        <v>0.15554573863636362</v>
      </c>
      <c r="AD70">
        <f t="shared" si="16"/>
        <v>0</v>
      </c>
      <c r="AE70" s="386">
        <f t="shared" si="17"/>
        <v>0.93706744469582914</v>
      </c>
      <c r="AF70" s="386">
        <f t="shared" si="18"/>
        <v>5.3748062405716182</v>
      </c>
      <c r="AG70" s="386">
        <f t="shared" si="19"/>
        <v>0.16466469010501938</v>
      </c>
      <c r="AH70" s="386">
        <f t="shared" si="20"/>
        <v>0.24</v>
      </c>
      <c r="AI70" s="386">
        <f t="shared" si="21"/>
        <v>0.41844532402635831</v>
      </c>
      <c r="AJ70" s="386">
        <f t="shared" si="22"/>
        <v>0</v>
      </c>
      <c r="AK70" s="386">
        <f t="shared" si="23"/>
        <v>0</v>
      </c>
      <c r="AL70" s="386">
        <f t="shared" si="24"/>
        <v>0</v>
      </c>
      <c r="AM70">
        <f t="shared" si="25"/>
        <v>0</v>
      </c>
      <c r="AN70" s="386">
        <f t="shared" si="26"/>
        <v>0</v>
      </c>
      <c r="AO70" s="386">
        <f t="shared" si="27"/>
        <v>12.01487514282908</v>
      </c>
      <c r="AP70" s="386">
        <f t="shared" si="28"/>
        <v>0.27427872692576699</v>
      </c>
      <c r="AQ70" s="386">
        <f t="shared" si="29"/>
        <v>0</v>
      </c>
      <c r="AR70" s="386">
        <f t="shared" si="30"/>
        <v>0.29019774027779244</v>
      </c>
      <c r="AS70" s="386">
        <f t="shared" si="31"/>
        <v>0.27427872692576699</v>
      </c>
      <c r="AT70" s="386">
        <f t="shared" si="32"/>
        <v>0</v>
      </c>
      <c r="AU70" s="386">
        <f t="shared" si="33"/>
        <v>0.2375352</v>
      </c>
      <c r="AV70" s="386">
        <f t="shared" si="34"/>
        <v>0.11555416849475045</v>
      </c>
      <c r="AW70" s="386">
        <f t="shared" si="35"/>
        <v>0.59328000000000003</v>
      </c>
      <c r="AX70" s="386">
        <f t="shared" si="36"/>
        <v>3.6000000000000004E-2</v>
      </c>
      <c r="AY70" s="386">
        <f t="shared" si="37"/>
        <v>6.6000000000000003E-2</v>
      </c>
      <c r="AZ70" s="386">
        <f t="shared" si="38"/>
        <v>4.3499999999999997E-2</v>
      </c>
      <c r="BA70" s="386">
        <f t="shared" si="56"/>
        <v>0.10200000000000001</v>
      </c>
      <c r="BB70" s="386">
        <f t="shared" si="57"/>
        <v>3.319179934386169</v>
      </c>
      <c r="BC70">
        <f t="shared" si="39"/>
        <v>144</v>
      </c>
      <c r="BD70" s="604">
        <f t="shared" si="50"/>
        <v>0.97746946503595467</v>
      </c>
      <c r="BE70" s="614">
        <f t="shared" si="40"/>
        <v>58.730132234791455</v>
      </c>
      <c r="BF70" s="614">
        <f t="shared" si="41"/>
        <v>20.922266201317914</v>
      </c>
      <c r="BG70" s="9"/>
      <c r="BH70" s="4">
        <f t="shared" si="51"/>
        <v>97.746946503595467</v>
      </c>
      <c r="BI70" s="386">
        <f t="shared" si="52"/>
        <v>0.57817078302151348</v>
      </c>
      <c r="BJ70" s="386">
        <f t="shared" si="53"/>
        <v>1.8832457089999799</v>
      </c>
      <c r="BK70" s="386">
        <f t="shared" si="54"/>
        <v>0.49683194002635833</v>
      </c>
      <c r="BL70" s="386">
        <f t="shared" si="55"/>
        <v>0.11555416849475045</v>
      </c>
      <c r="BR70" s="18"/>
      <c r="BS70" s="19"/>
    </row>
    <row r="71" spans="1:71" x14ac:dyDescent="0.2">
      <c r="A71" s="14" t="s">
        <v>63</v>
      </c>
      <c r="B71" s="15" t="s">
        <v>8</v>
      </c>
      <c r="C71" s="17" t="s">
        <v>80</v>
      </c>
      <c r="G71">
        <v>62</v>
      </c>
      <c r="H71" s="610">
        <f t="shared" si="0"/>
        <v>15.3</v>
      </c>
      <c r="I71" s="4" t="str">
        <f t="shared" si="1"/>
        <v>BUCK</v>
      </c>
      <c r="J71">
        <f t="shared" si="43"/>
        <v>1</v>
      </c>
      <c r="K71">
        <f t="shared" si="2"/>
        <v>12</v>
      </c>
      <c r="L71" s="4">
        <f t="shared" si="3"/>
        <v>10.457516339869279</v>
      </c>
      <c r="M71" s="4">
        <f t="shared" si="4"/>
        <v>12</v>
      </c>
      <c r="N71" s="386">
        <f t="shared" si="5"/>
        <v>0.79206411258795928</v>
      </c>
      <c r="O71" s="386">
        <f t="shared" si="58"/>
        <v>0</v>
      </c>
      <c r="P71" s="4">
        <f t="shared" si="6"/>
        <v>2.1513135395006078</v>
      </c>
      <c r="Q71" s="386">
        <f t="shared" si="7"/>
        <v>12.016059219315759</v>
      </c>
      <c r="R71" s="386">
        <f t="shared" si="8"/>
        <v>0.5031620633882935</v>
      </c>
      <c r="S71" s="386">
        <f t="shared" si="45"/>
        <v>8.2045080303991783E-2</v>
      </c>
      <c r="T71" s="386">
        <f t="shared" si="46"/>
        <v>0.58520714369228533</v>
      </c>
      <c r="U71" s="4">
        <f t="shared" si="9"/>
        <v>0.62103072557098127</v>
      </c>
      <c r="V71" s="386">
        <f t="shared" si="10"/>
        <v>7.7135832420643891E-4</v>
      </c>
      <c r="W71" s="386">
        <f t="shared" si="47"/>
        <v>7.7135832420643891E-4</v>
      </c>
      <c r="X71" s="386">
        <f t="shared" si="11"/>
        <v>4.876485680924489</v>
      </c>
      <c r="Y71" s="386">
        <f t="shared" si="12"/>
        <v>4.7560225192523155E-2</v>
      </c>
      <c r="Z71" s="603">
        <f t="shared" si="48"/>
        <v>4.7560225192523155E-2</v>
      </c>
      <c r="AA71" s="386">
        <f t="shared" si="13"/>
        <v>10.694050441060259</v>
      </c>
      <c r="AB71" s="386">
        <f t="shared" si="14"/>
        <v>0.65186747456486438</v>
      </c>
      <c r="AC71" s="386">
        <f t="shared" si="15"/>
        <v>0.15708579545454546</v>
      </c>
      <c r="AD71">
        <f t="shared" si="16"/>
        <v>0</v>
      </c>
      <c r="AE71" s="386">
        <f t="shared" si="17"/>
        <v>0.93023069707202011</v>
      </c>
      <c r="AF71" s="386">
        <f t="shared" si="18"/>
        <v>5.4793215206047305</v>
      </c>
      <c r="AG71" s="386">
        <f t="shared" si="19"/>
        <v>0.17113089665912418</v>
      </c>
      <c r="AH71" s="386">
        <f t="shared" si="20"/>
        <v>0.24</v>
      </c>
      <c r="AI71" s="386">
        <f t="shared" si="21"/>
        <v>0.42570101597357579</v>
      </c>
      <c r="AJ71" s="386">
        <f t="shared" si="22"/>
        <v>0</v>
      </c>
      <c r="AK71" s="386">
        <f t="shared" si="23"/>
        <v>0</v>
      </c>
      <c r="AL71" s="386">
        <f t="shared" si="24"/>
        <v>0</v>
      </c>
      <c r="AM71">
        <f t="shared" si="25"/>
        <v>0</v>
      </c>
      <c r="AN71" s="386">
        <f t="shared" si="26"/>
        <v>0</v>
      </c>
      <c r="AO71" s="386">
        <f t="shared" si="27"/>
        <v>12.016059219315759</v>
      </c>
      <c r="AP71" s="386">
        <f t="shared" si="28"/>
        <v>0.27433279040799613</v>
      </c>
      <c r="AQ71" s="386">
        <f t="shared" si="29"/>
        <v>0</v>
      </c>
      <c r="AR71" s="386">
        <f t="shared" si="30"/>
        <v>0.29025826221021706</v>
      </c>
      <c r="AS71" s="386">
        <f t="shared" si="31"/>
        <v>0.27433279040799613</v>
      </c>
      <c r="AT71" s="386">
        <f t="shared" si="32"/>
        <v>0</v>
      </c>
      <c r="AU71" s="386">
        <f t="shared" si="33"/>
        <v>0.23989770000000002</v>
      </c>
      <c r="AV71" s="386">
        <f t="shared" si="34"/>
        <v>0.12009185730464854</v>
      </c>
      <c r="AW71" s="386">
        <f t="shared" si="35"/>
        <v>0.59328000000000003</v>
      </c>
      <c r="AX71" s="386">
        <f t="shared" si="36"/>
        <v>3.6000000000000004E-2</v>
      </c>
      <c r="AY71" s="386">
        <f t="shared" si="37"/>
        <v>6.6000000000000003E-2</v>
      </c>
      <c r="AZ71" s="386">
        <f t="shared" si="38"/>
        <v>4.3499999999999997E-2</v>
      </c>
      <c r="BA71" s="386">
        <f t="shared" si="56"/>
        <v>0.10200000000000001</v>
      </c>
      <c r="BB71" s="386">
        <f t="shared" si="57"/>
        <v>3.3349982597694767</v>
      </c>
      <c r="BC71">
        <f t="shared" si="39"/>
        <v>144</v>
      </c>
      <c r="BD71" s="604">
        <f t="shared" si="50"/>
        <v>0.97736452099528004</v>
      </c>
      <c r="BE71" s="614">
        <f t="shared" si="40"/>
        <v>58.50641985360101</v>
      </c>
      <c r="BF71" s="614">
        <f t="shared" si="41"/>
        <v>21.285050798678789</v>
      </c>
      <c r="BG71" s="9"/>
      <c r="BH71" s="4">
        <f t="shared" si="51"/>
        <v>97.736452099528009</v>
      </c>
      <c r="BI71" s="386">
        <f t="shared" si="52"/>
        <v>0.58520714369228533</v>
      </c>
      <c r="BJ71" s="386">
        <f t="shared" si="53"/>
        <v>1.8860876752558129</v>
      </c>
      <c r="BK71" s="386">
        <f t="shared" si="54"/>
        <v>0.50486725697357582</v>
      </c>
      <c r="BL71" s="386">
        <f t="shared" si="55"/>
        <v>0.12009185730464854</v>
      </c>
      <c r="BR71" s="18"/>
      <c r="BS71" s="19"/>
    </row>
    <row r="72" spans="1:71" x14ac:dyDescent="0.2">
      <c r="A72" s="32" t="s">
        <v>92</v>
      </c>
      <c r="B72" s="492">
        <f>(Qgd_Q1+Qgs_Q1/2)*(RdsonDRT+Rgate1)/(Vdd-Vsp_Q1)*1000000000</f>
        <v>4.1363636363636367</v>
      </c>
      <c r="C72" s="21" t="s">
        <v>79</v>
      </c>
      <c r="D72" s="118" t="s">
        <v>719</v>
      </c>
      <c r="G72">
        <v>63</v>
      </c>
      <c r="H72" s="610">
        <f t="shared" si="0"/>
        <v>15.45</v>
      </c>
      <c r="I72" s="4" t="str">
        <f t="shared" si="1"/>
        <v>BUCK</v>
      </c>
      <c r="J72">
        <f t="shared" si="43"/>
        <v>1</v>
      </c>
      <c r="K72">
        <f t="shared" si="2"/>
        <v>12</v>
      </c>
      <c r="L72" s="4">
        <f t="shared" si="3"/>
        <v>10.355987055016183</v>
      </c>
      <c r="M72" s="4">
        <f t="shared" si="4"/>
        <v>12</v>
      </c>
      <c r="N72" s="386">
        <f t="shared" si="5"/>
        <v>0.78439798683701123</v>
      </c>
      <c r="O72" s="386">
        <f t="shared" si="58"/>
        <v>0</v>
      </c>
      <c r="P72" s="4">
        <f t="shared" si="6"/>
        <v>2.2306276027380338</v>
      </c>
      <c r="Q72" s="386">
        <f t="shared" si="7"/>
        <v>12.017264315357915</v>
      </c>
      <c r="R72" s="386">
        <f t="shared" si="8"/>
        <v>0.50326705672344618</v>
      </c>
      <c r="S72" s="386">
        <f t="shared" si="45"/>
        <v>8.9182402850702946E-2</v>
      </c>
      <c r="T72" s="386">
        <f t="shared" si="46"/>
        <v>0.59244945957414918</v>
      </c>
      <c r="U72" s="4">
        <f t="shared" si="9"/>
        <v>0.64392672345130675</v>
      </c>
      <c r="V72" s="386">
        <f t="shared" si="10"/>
        <v>8.292832503494714E-4</v>
      </c>
      <c r="W72" s="386">
        <f t="shared" si="47"/>
        <v>8.292832503494714E-4</v>
      </c>
      <c r="X72" s="386">
        <f t="shared" si="11"/>
        <v>4.9419717042100446</v>
      </c>
      <c r="Y72" s="386">
        <f t="shared" si="12"/>
        <v>4.8846168650425473E-2</v>
      </c>
      <c r="Z72" s="603">
        <f t="shared" si="48"/>
        <v>4.8846168650425473E-2</v>
      </c>
      <c r="AA72" s="386">
        <f t="shared" si="13"/>
        <v>10.64323983383704</v>
      </c>
      <c r="AB72" s="386">
        <f t="shared" si="14"/>
        <v>0.64568775871528039</v>
      </c>
      <c r="AC72" s="386">
        <f t="shared" si="15"/>
        <v>0.15862585227272724</v>
      </c>
      <c r="AD72">
        <f t="shared" si="16"/>
        <v>0</v>
      </c>
      <c r="AE72" s="386">
        <f t="shared" si="17"/>
        <v>0.92358283744793945</v>
      </c>
      <c r="AF72" s="386">
        <f t="shared" si="18"/>
        <v>5.5799719949654971</v>
      </c>
      <c r="AG72" s="386">
        <f t="shared" si="19"/>
        <v>0.1774756985482156</v>
      </c>
      <c r="AH72" s="386">
        <f t="shared" si="20"/>
        <v>0.24</v>
      </c>
      <c r="AI72" s="386">
        <f t="shared" si="21"/>
        <v>0.43283939328469295</v>
      </c>
      <c r="AJ72" s="386">
        <f t="shared" si="22"/>
        <v>0</v>
      </c>
      <c r="AK72" s="386">
        <f t="shared" si="23"/>
        <v>0</v>
      </c>
      <c r="AL72" s="386">
        <f t="shared" si="24"/>
        <v>0</v>
      </c>
      <c r="AM72">
        <f t="shared" si="25"/>
        <v>0</v>
      </c>
      <c r="AN72" s="386">
        <f t="shared" si="26"/>
        <v>0</v>
      </c>
      <c r="AO72" s="386">
        <f t="shared" si="27"/>
        <v>12.017264315357915</v>
      </c>
      <c r="AP72" s="386">
        <f t="shared" si="28"/>
        <v>0.274387819087832</v>
      </c>
      <c r="AQ72" s="386">
        <f t="shared" si="29"/>
        <v>0</v>
      </c>
      <c r="AR72" s="386">
        <f t="shared" si="30"/>
        <v>0.29031986606533999</v>
      </c>
      <c r="AS72" s="386">
        <f t="shared" si="31"/>
        <v>0.274387819087832</v>
      </c>
      <c r="AT72" s="386">
        <f t="shared" si="32"/>
        <v>0</v>
      </c>
      <c r="AU72" s="386">
        <f t="shared" si="33"/>
        <v>0.24226019999999998</v>
      </c>
      <c r="AV72" s="386">
        <f t="shared" si="34"/>
        <v>0.12454434985839692</v>
      </c>
      <c r="AW72" s="386">
        <f t="shared" si="35"/>
        <v>0.59328000000000003</v>
      </c>
      <c r="AX72" s="386">
        <f t="shared" si="36"/>
        <v>3.6000000000000004E-2</v>
      </c>
      <c r="AY72" s="386">
        <f t="shared" si="37"/>
        <v>6.6000000000000003E-2</v>
      </c>
      <c r="AZ72" s="386">
        <f t="shared" si="38"/>
        <v>4.3499999999999997E-2</v>
      </c>
      <c r="BA72" s="386">
        <f t="shared" si="56"/>
        <v>0.10200000000000001</v>
      </c>
      <c r="BB72" s="386">
        <f t="shared" si="57"/>
        <v>3.3509515581312934</v>
      </c>
      <c r="BC72">
        <f t="shared" si="39"/>
        <v>144</v>
      </c>
      <c r="BD72" s="604">
        <f t="shared" si="50"/>
        <v>0.9772587043198746</v>
      </c>
      <c r="BE72" s="614">
        <f t="shared" si="40"/>
        <v>58.292151872396971</v>
      </c>
      <c r="BF72" s="614">
        <f t="shared" si="41"/>
        <v>21.641969664234647</v>
      </c>
      <c r="BG72" s="9"/>
      <c r="BH72" s="4">
        <f t="shared" si="51"/>
        <v>97.72587043198746</v>
      </c>
      <c r="BI72" s="386">
        <f t="shared" si="52"/>
        <v>0.59244945957414918</v>
      </c>
      <c r="BJ72" s="386">
        <f t="shared" si="53"/>
        <v>1.8890022967979725</v>
      </c>
      <c r="BK72" s="386">
        <f t="shared" si="54"/>
        <v>0.51278525928469298</v>
      </c>
      <c r="BL72" s="386">
        <f t="shared" si="55"/>
        <v>0.12454434985839692</v>
      </c>
      <c r="BR72" s="18"/>
      <c r="BS72" s="19"/>
    </row>
    <row r="73" spans="1:71" x14ac:dyDescent="0.2">
      <c r="A73" s="33" t="s">
        <v>93</v>
      </c>
      <c r="B73" s="492">
        <f>(Qgd_Q1+Qgs_Q1/2)*(RdsonDRT2+Rgate1)/(Vsp_Q1)*1000000000</f>
        <v>2.7083333333333326</v>
      </c>
      <c r="C73" s="21" t="s">
        <v>79</v>
      </c>
      <c r="D73" s="118" t="s">
        <v>720</v>
      </c>
      <c r="G73">
        <v>64</v>
      </c>
      <c r="H73" s="610">
        <f t="shared" ref="H73:H136" si="59">VIN_min+(VIN_max-VIN_min)*(G73/200)</f>
        <v>15.6</v>
      </c>
      <c r="I73" s="4" t="str">
        <f t="shared" ref="I73:I136" si="60">IF(H73&gt;VIN_BB_to_buck, "BUCK", IF(H73&lt;VIN_boost_to_BB,"BOOST","BUCK-BST"))</f>
        <v>BUCK</v>
      </c>
      <c r="J73">
        <f t="shared" si="43"/>
        <v>1</v>
      </c>
      <c r="K73">
        <f t="shared" ref="K73:K136" si="61">Iout</f>
        <v>12</v>
      </c>
      <c r="L73" s="4">
        <f t="shared" ref="L73:L136" si="62">Vout*K73/(H73*Efficiency)</f>
        <v>10.256410256410257</v>
      </c>
      <c r="M73" s="4">
        <f t="shared" ref="M73:M136" si="63">Iout/(1-O73)</f>
        <v>12</v>
      </c>
      <c r="N73" s="386">
        <f t="shared" ref="N73:N136" si="64">CHOOSE(J73,(Vout+(Rdson2+Rs+Rdcr)*K73)/(H73+(Rs+Rdson2-Rdson1)*K73),1,IF(H73&lt;Vout,D_max_buck_BB,Vout/H73*(1-D_min_boost_exitBB_to_buck)))</f>
        <v>0.77687883435582816</v>
      </c>
      <c r="O73" s="386">
        <f t="shared" si="58"/>
        <v>0</v>
      </c>
      <c r="P73" s="4">
        <f t="shared" ref="P73:P136" si="65">MAX(0, CHOOSE(J73, (H73-(Rdson1+Rdcr)*K73-Vout)*N73/(Fsw*Lf), (H73-(Rdson4+Rdcr+Rs)*L73)*O73/(Fsw*Lf), IF(H73&lt;Vout, (H73-(Rdson4+Rdcr+Rs)*L73)*O73/(0.5*Fsw*Lf),(H73-(Rdson1+Rdcr)*K73-Vout)*N73/(0.5*Fsw*Lf))))</f>
        <v>2.3084210742722884</v>
      </c>
      <c r="Q73" s="386">
        <f t="shared" ref="Q73:Q136" si="66">CHOOSE(J73, SQRT(K73^2+(P73^2)/12), SQRT(L73^2+(P73^2)/12), SQRT(M73^2+(P73^2)/12))</f>
        <v>12.018488562267111</v>
      </c>
      <c r="R73" s="386">
        <f t="shared" si="8"/>
        <v>0.50337373108549732</v>
      </c>
      <c r="S73" s="386">
        <f t="shared" ref="S73:S109" si="67">7.759*10^-3*Fsw^0.9458*(0.00787*P73)^2.304</f>
        <v>9.6511935573651494E-2</v>
      </c>
      <c r="T73" s="386">
        <f t="shared" si="46"/>
        <v>0.59988566665914878</v>
      </c>
      <c r="U73" s="4">
        <f t="shared" ref="U73:U136" si="68">IF(H73&gt;Vout, P73/SQRT(12), SQRT(O73/(1-O73))*SQRT(K73^2+(P73^2)/12))</f>
        <v>0.66638376431705548</v>
      </c>
      <c r="V73" s="386">
        <f t="shared" si="10"/>
        <v>8.8813464269073793E-4</v>
      </c>
      <c r="W73" s="386">
        <f t="shared" si="47"/>
        <v>8.8813464269073793E-4</v>
      </c>
      <c r="X73" s="386">
        <f t="shared" ref="X73:X136" si="69">IF(H73&gt;Vout, SQRT(N73*(1-N73))*SQRT(K73^2+(P73^2)/12), P73/SQRT(12))</f>
        <v>5.0037647613597951</v>
      </c>
      <c r="Y73" s="386">
        <f t="shared" si="12"/>
        <v>5.0075323574052095E-2</v>
      </c>
      <c r="Z73" s="603">
        <f t="shared" si="48"/>
        <v>5.0075323574052095E-2</v>
      </c>
      <c r="AA73" s="386">
        <f t="shared" ref="AA73:AA136" si="70">CHOOSE(J73, SQRT(N73)*SQRT(K73^2+(P73^2)/12), SQRT(L73^2+(P73^2)/12), SQRT(N73)*SQRT(M73^2+(P73^2)/12))</f>
        <v>10.593183593718253</v>
      </c>
      <c r="AB73" s="386">
        <f t="shared" ref="AB73:AB136" si="71">Rdson1*AA73^2</f>
        <v>0.63962857030626297</v>
      </c>
      <c r="AC73" s="386">
        <f t="shared" ref="AC73:AC136" si="72">CHOOSE(J73, (H73*K73/2)*(Fsw)*(Tr_buck+Tf_buck), 0, (H73*M73/2)*(Fsw/2)*(Tr_buck+Tf_buck))</f>
        <v>0.16016590909090908</v>
      </c>
      <c r="AD73">
        <f t="shared" ref="AD73:AD136" si="73">IF(H73&gt;Vout, IF(K73&gt;P73/2,0,ABS(K73-P73/2)*Vsd_Q1*Deadtime*Fsw),0)</f>
        <v>0</v>
      </c>
      <c r="AE73" s="386">
        <f t="shared" ref="AE73:AE136" si="74">(AD73+AC73+AB73*(1+RdsonTopTc*Ta-RdsonTopTc*25))/(1-AB73*RdsonTopTc*ThetaJA_Q1)</f>
        <v>0.91711737439457985</v>
      </c>
      <c r="AF73" s="386">
        <f t="shared" ref="AF73:AF136" si="75">CHOOSE(J73, SQRT((1-N73))*SQRT(K73^2+(P73^2)/12), 0, SQRT((1-N73))*SQRT(M73^2+(P73^2)/12))</f>
        <v>5.6770175859445606</v>
      </c>
      <c r="AG73" s="386">
        <f t="shared" ref="AG73:AG136" si="76">Rdson2*AF73^2</f>
        <v>0.1837026134254057</v>
      </c>
      <c r="AH73" s="386">
        <f t="shared" ref="AH73:AH136" si="77">CHOOSE(J73, IF(K73&lt;P73/2,Deadtime*Fsw*IF(VfdSky_Q2&gt;0,0,Vsd_Q2)*(K73+P73/2),2*Deadtime*Fsw*IF(VfdSky_Q2&gt;0,0,Vsd_Q2)*K73),0, IF(K73&lt;P73/2,Deadtime*Fsw/2*IF(VfdSky_Q2&gt;0,0,Vsd_Q2)*(K73+P73/2),2*Deadtime*Fsw/2*IF(VfdSky_Q2&gt;0,0,Vsd_Q2)*K73))</f>
        <v>0.24</v>
      </c>
      <c r="AI73" s="386">
        <f t="shared" ref="AI73:AI136" si="78">(AH73+AG73*(1+RdsonBotTc*Ta-RdsonBotTc*25))/(1-AG73*RdsonBotTc*ThetaJA_Q2)</f>
        <v>0.43986342559169489</v>
      </c>
      <c r="AJ73" s="386">
        <f t="shared" ref="AJ73:AJ136" si="79">CHOOSE(J73, 0, SQRT(O73)*SQRT(L73^2+(P73^2)/12), SQRT(O73)*SQRT(M73^2+(P73^2)/12))</f>
        <v>0</v>
      </c>
      <c r="AK73" s="386">
        <f t="shared" ref="AK73:AK136" si="80">Rdson4*AJ73^2</f>
        <v>0</v>
      </c>
      <c r="AL73" s="386">
        <f t="shared" ref="AL73:AL136" si="81">CHOOSE(J73, 0, (Vout*L73/2)*(Fsw)*(Tr_boost+Tf_boost), (Vout*Iout/2)*(Fsw/2)*(Tr_boost+Tf_boost))</f>
        <v>0</v>
      </c>
      <c r="AM73">
        <f t="shared" ref="AM73:AM136" si="82">IF(H73&gt;Vout, 0, IF(L73&gt;P73/2,0,ABS(L73-P73/2)*Vsd_Q4*Deadtime*Fsw))</f>
        <v>0</v>
      </c>
      <c r="AN73" s="386">
        <f t="shared" ref="AN73:AN136" si="83">(AM73+AL73+AK73*(1+RdsonTopTc*Ta-RdsonTopTc*25))/(1-AK73*RdsonTopTc*ThetaJA_Q4)</f>
        <v>0</v>
      </c>
      <c r="AO73" s="386">
        <f t="shared" ref="AO73:AO136" si="84">CHOOSE(J73, SQRT(Iout^2+(P73^2)/12), SQRT(1-O73)*SQRT(L73^2+(P73^2)/12), SQRT(1-O73)*SQRT(M73^2+(P73^2)/12))</f>
        <v>12.018488562267111</v>
      </c>
      <c r="AP73" s="386">
        <f t="shared" ref="AP73:AP136" si="85">Rdson3*AO73^2</f>
        <v>0.27444372791055616</v>
      </c>
      <c r="AQ73" s="386">
        <f t="shared" ref="AQ73:AQ136" si="86">CHOOSE(J73, 0, IF(L73&lt;P73/2,Deadtime*Fsw*IF(VfdSky_Q3&gt;0,0,Vsd_Q3)*(L73+P73/2), 2*Deadtime*Fsw*IF(VfdSky_Q3&gt;0,0,Vsd_Q3)*L73), IF(L73&lt;P73/2,Deadtime*Fsw/2*IF(VfdSky_Q3&gt;0,0,Vsd_Q3)*(L73+P73/2), 2*Deadtime*Fsw/2*IF(VfdSky_Q3&gt;0,0,Vsd_Q3)*L73))</f>
        <v>0</v>
      </c>
      <c r="AR73" s="386">
        <f t="shared" ref="AR73:AR136" si="87">(AQ73+AP73*(1+RdsonBotTc*Ta-RdsonBotTc*25))/(1-AP73*RdsonBotTc*ThetaJA_Q3)</f>
        <v>0.2903824566977472</v>
      </c>
      <c r="AS73" s="386">
        <f t="shared" ref="AS73:AS136" si="88">CHOOSE(J73, Rdson3*Q73^2, Rdson1*Q73^2, 0)</f>
        <v>0.27444372791055616</v>
      </c>
      <c r="AT73" s="386">
        <f t="shared" ref="AT73:AT136" si="89">CHOOSE(J73, 2*Deadtime*Fsw*IF(VfdSky_Q2&gt;0,VfdSky_Q2,0)*K73, 2*Deadtime*Fsw*IF(VfdSky_Q3&gt;0,VfdSky_Q3,0)*L73, 2*Deadtime*Fsw/2*IF(VfdSky_Q2&gt;0,VfdSky_Q2,0)*K73+2*Deadtime*Fsw/2*IF(VfdSky_Q3&gt;0,VfdSky_Q3,0)*L73)</f>
        <v>0</v>
      </c>
      <c r="AU73" s="386">
        <f t="shared" ref="AU73:AU136" si="90">CHOOSE(J73, IF(QrrSky_Q2&gt;0,QrrSky_Q2,Qrr_Q2)*Fsw*(H73-K73*Rdson1), IF(QrrSky_Q3&gt;0,QrrSky_Q3,Qrr_Q3)*Fsw*Vout,  IF(QrrSky_Q2&gt;0,QrrSky_Q2,Qrr_Q2)*Fsw/2*(H73-K73*Rdson1)+IF(QrrSky_Q3&gt;0,QrrSky_Q3,Qrr_Q3)*Fsw/2*Vout)</f>
        <v>0.2446227</v>
      </c>
      <c r="AV73" s="386">
        <f t="shared" ref="AV73:AV136" si="91">CHOOSE(J73, Rs*AF73^2, Rs*AJ73^2, Rs*(AF73^2+AJ73^2))</f>
        <v>0.12891411468449521</v>
      </c>
      <c r="AW73" s="386">
        <f t="shared" ref="AW73:AW136" si="92">Rshunt_std/1000*Iout^2</f>
        <v>0.59328000000000003</v>
      </c>
      <c r="AX73" s="386">
        <f t="shared" ref="AX73:AX136" si="93">IF(Vout&gt;8, Iq*Vout, Iq*H73)</f>
        <v>3.6000000000000004E-2</v>
      </c>
      <c r="AY73" s="386">
        <f t="shared" ref="AY73:AY136" si="94">CHOOSE(J73, (Qg_Q1+Qg_Q2)*Fsw, (Qg_Q3+Qg_Q4)*Fsw, (Qg_Q1+Qg_Q2+Qg_Q3+Qg_Q4)*Fsw/2)*IF(Vout&gt;8, Vout, H73)</f>
        <v>6.6000000000000003E-2</v>
      </c>
      <c r="AZ73" s="386">
        <f t="shared" ref="AZ73:AZ136" si="95">(Vin-Vdd)*Fsw*(Qg_Q1+Qg_Q2)+(RdsonDRT+RdsonDRT2)*Fsw*Qg_Q1*Vdd/(RdsonDRT+2*Rgate1+RdsonDRT2)+(RdsonDRB+RdsonDRB2)*Fsw*Qg_Q2*Vdd/(RdsonDRB+2*Rgate2+RdsonDRB2)</f>
        <v>4.3499999999999997E-2</v>
      </c>
      <c r="BA73" s="386">
        <f t="shared" si="56"/>
        <v>0.10200000000000001</v>
      </c>
      <c r="BB73" s="386">
        <f t="shared" si="57"/>
        <v>3.3670291962444088</v>
      </c>
      <c r="BC73">
        <f t="shared" ref="BC73:BC136" si="96">Vout*K73</f>
        <v>144</v>
      </c>
      <c r="BD73" s="604">
        <f t="shared" si="50"/>
        <v>0.97715208609002613</v>
      </c>
      <c r="BE73" s="614">
        <f t="shared" ref="BE73:BE136" si="97">IF(H73&gt;Vout,ThetaJA_Q1*(AE73+AU73),ThetaJA_Q4*(AN73+AU73))</f>
        <v>58.08700371972899</v>
      </c>
      <c r="BF73" s="614">
        <f t="shared" ref="BF73:BF136" si="98">IF(H73&gt;Vout, AI73*ThetaJA_Q2, ThetaJA_Q3*AR73)</f>
        <v>21.993171279584743</v>
      </c>
      <c r="BG73" s="9"/>
      <c r="BH73" s="4">
        <f t="shared" si="51"/>
        <v>97.715208609002616</v>
      </c>
      <c r="BI73" s="386">
        <f t="shared" si="52"/>
        <v>0.59988566665914878</v>
      </c>
      <c r="BJ73" s="386">
        <f t="shared" si="53"/>
        <v>1.891985956684022</v>
      </c>
      <c r="BK73" s="386">
        <f t="shared" si="54"/>
        <v>0.52058891659169493</v>
      </c>
      <c r="BL73" s="386">
        <f t="shared" si="55"/>
        <v>0.12891411468449521</v>
      </c>
      <c r="BR73" s="18"/>
      <c r="BS73" s="19"/>
    </row>
    <row r="74" spans="1:71" x14ac:dyDescent="0.2">
      <c r="A74" s="14" t="s">
        <v>118</v>
      </c>
      <c r="B74" s="15" t="s">
        <v>8</v>
      </c>
      <c r="C74" s="17" t="s">
        <v>80</v>
      </c>
      <c r="G74">
        <v>65</v>
      </c>
      <c r="H74" s="610">
        <f t="shared" si="59"/>
        <v>15.75</v>
      </c>
      <c r="I74" s="4" t="str">
        <f t="shared" si="60"/>
        <v>BUCK</v>
      </c>
      <c r="J74">
        <f t="shared" ref="J74:J137" si="99">IF(I74="BOOST",2, IF(I74="BUCK", 1,3))</f>
        <v>1</v>
      </c>
      <c r="K74">
        <f t="shared" si="61"/>
        <v>12</v>
      </c>
      <c r="L74" s="4">
        <f t="shared" si="62"/>
        <v>10.158730158730158</v>
      </c>
      <c r="M74" s="4">
        <f t="shared" si="63"/>
        <v>12</v>
      </c>
      <c r="N74" s="386">
        <f t="shared" si="64"/>
        <v>0.76950246866691985</v>
      </c>
      <c r="O74" s="386">
        <f t="shared" ref="O74:O105" si="100">CHOOSE(J74,0,(Vout+(Rdson3+Rdcr)*L74-H74)/(Vout+(Rdson3-Rdson4-Rs)*L74),IF(H74&gt;Vout,D_min_boost_exitBB_to_buck, (Vout-H74*D_max_buck_BB)/Vout))</f>
        <v>0</v>
      </c>
      <c r="P74" s="4">
        <f t="shared" si="65"/>
        <v>2.3847372675776364</v>
      </c>
      <c r="Q74" s="386">
        <f t="shared" si="66"/>
        <v>12.0197302099346</v>
      </c>
      <c r="R74" s="386">
        <f t="shared" ref="R74:R109" si="101">(Q74^2*Rdcr*(1+Ltc*Ta-Ltc*25))/(1-Q74^2*Rdcr*Ltc*ThetaCa)</f>
        <v>0.50348193454463919</v>
      </c>
      <c r="S74" s="386">
        <f t="shared" si="67"/>
        <v>0.1040222388121558</v>
      </c>
      <c r="T74" s="386">
        <f t="shared" ref="T74:T109" si="102">R74+S74</f>
        <v>0.60750417335679496</v>
      </c>
      <c r="U74" s="4">
        <f t="shared" si="68"/>
        <v>0.68841435169124054</v>
      </c>
      <c r="V74" s="386">
        <f t="shared" ref="V74:V109" si="103">RCoutEsr*U74^2</f>
        <v>9.4782863922894197E-4</v>
      </c>
      <c r="W74" s="386">
        <f t="shared" ref="W74:W109" si="104">V74</f>
        <v>9.4782863922894197E-4</v>
      </c>
      <c r="X74" s="386">
        <f t="shared" si="69"/>
        <v>5.0621250305443359</v>
      </c>
      <c r="Y74" s="386">
        <f t="shared" ref="Y74:Y109" si="105">RCinEsr*X74^2</f>
        <v>5.1250219649726987E-2</v>
      </c>
      <c r="Z74" s="603">
        <f t="shared" ref="Z74:Z109" si="106">Y74</f>
        <v>5.1250219649726987E-2</v>
      </c>
      <c r="AA74" s="386">
        <f t="shared" si="70"/>
        <v>10.543862372343277</v>
      </c>
      <c r="AB74" s="386">
        <f t="shared" si="71"/>
        <v>0.63368629224342354</v>
      </c>
      <c r="AC74" s="386">
        <f t="shared" si="72"/>
        <v>0.16170596590909089</v>
      </c>
      <c r="AD74">
        <f t="shared" si="73"/>
        <v>0</v>
      </c>
      <c r="AE74" s="386">
        <f t="shared" si="74"/>
        <v>0.91082811656378804</v>
      </c>
      <c r="AF74" s="386">
        <f t="shared" si="75"/>
        <v>5.7706915177210849</v>
      </c>
      <c r="AG74" s="386">
        <f t="shared" si="76"/>
        <v>0.18981501937837905</v>
      </c>
      <c r="AH74" s="386">
        <f t="shared" si="77"/>
        <v>0.24</v>
      </c>
      <c r="AI74" s="386">
        <f t="shared" si="78"/>
        <v>0.44677597754549769</v>
      </c>
      <c r="AJ74" s="386">
        <f t="shared" si="79"/>
        <v>0</v>
      </c>
      <c r="AK74" s="386">
        <f t="shared" si="80"/>
        <v>0</v>
      </c>
      <c r="AL74" s="386">
        <f t="shared" si="81"/>
        <v>0</v>
      </c>
      <c r="AM74">
        <f t="shared" si="82"/>
        <v>0</v>
      </c>
      <c r="AN74" s="386">
        <f t="shared" si="83"/>
        <v>0</v>
      </c>
      <c r="AO74" s="386">
        <f t="shared" si="84"/>
        <v>12.0197302099346</v>
      </c>
      <c r="AP74" s="386">
        <f t="shared" si="85"/>
        <v>0.27450043720726747</v>
      </c>
      <c r="AQ74" s="386">
        <f t="shared" si="86"/>
        <v>0</v>
      </c>
      <c r="AR74" s="386">
        <f t="shared" si="87"/>
        <v>0.29044594498389908</v>
      </c>
      <c r="AS74" s="386">
        <f t="shared" si="88"/>
        <v>0.27450043720726747</v>
      </c>
      <c r="AT74" s="386">
        <f t="shared" si="89"/>
        <v>0</v>
      </c>
      <c r="AU74" s="386">
        <f t="shared" si="90"/>
        <v>0.24698519999999999</v>
      </c>
      <c r="AV74" s="386">
        <f t="shared" si="91"/>
        <v>0.1332035223707923</v>
      </c>
      <c r="AW74" s="386">
        <f t="shared" si="92"/>
        <v>0.59328000000000003</v>
      </c>
      <c r="AX74" s="386">
        <f t="shared" si="93"/>
        <v>3.6000000000000004E-2</v>
      </c>
      <c r="AY74" s="386">
        <f t="shared" si="94"/>
        <v>6.6000000000000003E-2</v>
      </c>
      <c r="AZ74" s="386">
        <f t="shared" si="95"/>
        <v>4.3499999999999997E-2</v>
      </c>
      <c r="BA74" s="386">
        <f t="shared" si="56"/>
        <v>0.10200000000000001</v>
      </c>
      <c r="BB74" s="386">
        <f t="shared" si="57"/>
        <v>3.383220983109728</v>
      </c>
      <c r="BC74">
        <f t="shared" si="96"/>
        <v>144</v>
      </c>
      <c r="BD74" s="604">
        <f t="shared" ref="BD74:BD109" si="107">BC74/(BC74+BB74)</f>
        <v>0.97704473439688599</v>
      </c>
      <c r="BE74" s="614">
        <f t="shared" si="97"/>
        <v>57.890665828189405</v>
      </c>
      <c r="BF74" s="614">
        <f t="shared" si="98"/>
        <v>22.338798877274886</v>
      </c>
      <c r="BG74" s="9"/>
      <c r="BH74" s="4">
        <f t="shared" ref="BH74:BH109" si="108">BD74*100</f>
        <v>97.704473439688599</v>
      </c>
      <c r="BI74" s="386">
        <f t="shared" ref="BI74:BI109" si="109">T74</f>
        <v>0.60750417335679496</v>
      </c>
      <c r="BJ74" s="386">
        <f t="shared" ref="BJ74:BJ109" si="110">AE74+AI74+AN74+AR74+AU74</f>
        <v>1.8950352390931846</v>
      </c>
      <c r="BK74" s="386">
        <f t="shared" ref="BK74:BK109" si="111">AI74+AU74*0.33</f>
        <v>0.52828109354549768</v>
      </c>
      <c r="BL74" s="386">
        <f t="shared" ref="BL74:BL109" si="112">AV74</f>
        <v>0.1332035223707923</v>
      </c>
      <c r="BR74" s="18"/>
      <c r="BS74" s="19"/>
    </row>
    <row r="75" spans="1:71" x14ac:dyDescent="0.2">
      <c r="A75" s="34" t="s">
        <v>119</v>
      </c>
      <c r="B75" s="80">
        <f>BA9</f>
        <v>0.16800000000000001</v>
      </c>
      <c r="C75" s="81" t="s">
        <v>120</v>
      </c>
      <c r="G75">
        <v>66</v>
      </c>
      <c r="H75" s="610">
        <f t="shared" si="59"/>
        <v>15.9</v>
      </c>
      <c r="I75" s="4" t="str">
        <f t="shared" si="60"/>
        <v>BUCK</v>
      </c>
      <c r="J75">
        <f t="shared" si="99"/>
        <v>1</v>
      </c>
      <c r="K75">
        <f t="shared" si="61"/>
        <v>12</v>
      </c>
      <c r="L75" s="4">
        <f t="shared" si="62"/>
        <v>10.062893081761006</v>
      </c>
      <c r="M75" s="4">
        <f t="shared" si="63"/>
        <v>12</v>
      </c>
      <c r="N75" s="386">
        <f t="shared" si="64"/>
        <v>0.76226486079759215</v>
      </c>
      <c r="O75" s="386">
        <f t="shared" si="100"/>
        <v>0</v>
      </c>
      <c r="P75" s="4">
        <f t="shared" si="65"/>
        <v>2.4596178665770143</v>
      </c>
      <c r="Q75" s="386">
        <f t="shared" si="66"/>
        <v>12.020987619054658</v>
      </c>
      <c r="R75" s="386">
        <f t="shared" si="101"/>
        <v>0.50359152476381375</v>
      </c>
      <c r="S75" s="386">
        <f t="shared" si="67"/>
        <v>0.11170233095460894</v>
      </c>
      <c r="T75" s="386">
        <f t="shared" si="102"/>
        <v>0.61529385571842266</v>
      </c>
      <c r="U75" s="4">
        <f t="shared" si="68"/>
        <v>0.71003051868592615</v>
      </c>
      <c r="V75" s="386">
        <f t="shared" si="103"/>
        <v>1.0082866749308106E-3</v>
      </c>
      <c r="W75" s="386">
        <f t="shared" si="104"/>
        <v>1.0082866749308106E-3</v>
      </c>
      <c r="X75" s="386">
        <f t="shared" si="69"/>
        <v>5.1172871696877174</v>
      </c>
      <c r="Y75" s="386">
        <f t="shared" si="105"/>
        <v>5.2373255954101056E-2</v>
      </c>
      <c r="Z75" s="603">
        <f t="shared" si="106"/>
        <v>5.2373255954101056E-2</v>
      </c>
      <c r="AA75" s="386">
        <f t="shared" si="70"/>
        <v>10.495257534039283</v>
      </c>
      <c r="AB75" s="386">
        <f t="shared" si="71"/>
        <v>0.62785745502310741</v>
      </c>
      <c r="AC75" s="386">
        <f t="shared" si="72"/>
        <v>0.1632460227272727</v>
      </c>
      <c r="AD75">
        <f t="shared" si="73"/>
        <v>0</v>
      </c>
      <c r="AE75" s="386">
        <f t="shared" si="74"/>
        <v>0.90470915530792839</v>
      </c>
      <c r="AF75" s="386">
        <f t="shared" si="75"/>
        <v>5.8612040257661251</v>
      </c>
      <c r="AG75" s="386">
        <f t="shared" si="76"/>
        <v>0.1958161620004451</v>
      </c>
      <c r="AH75" s="386">
        <f t="shared" si="77"/>
        <v>0.24</v>
      </c>
      <c r="AI75" s="386">
        <f t="shared" si="78"/>
        <v>0.45357981365458883</v>
      </c>
      <c r="AJ75" s="386">
        <f t="shared" si="79"/>
        <v>0</v>
      </c>
      <c r="AK75" s="386">
        <f t="shared" si="80"/>
        <v>0</v>
      </c>
      <c r="AL75" s="386">
        <f t="shared" si="81"/>
        <v>0</v>
      </c>
      <c r="AM75">
        <f t="shared" si="82"/>
        <v>0</v>
      </c>
      <c r="AN75" s="386">
        <f t="shared" si="83"/>
        <v>0</v>
      </c>
      <c r="AO75" s="386">
        <f t="shared" si="84"/>
        <v>12.020987619054658</v>
      </c>
      <c r="AP75" s="386">
        <f t="shared" si="85"/>
        <v>0.27455787234118417</v>
      </c>
      <c r="AQ75" s="386">
        <f t="shared" si="86"/>
        <v>0</v>
      </c>
      <c r="AR75" s="386">
        <f t="shared" si="87"/>
        <v>0.29051024742653209</v>
      </c>
      <c r="AS75" s="386">
        <f t="shared" si="88"/>
        <v>0.27455787234118417</v>
      </c>
      <c r="AT75" s="386">
        <f t="shared" si="89"/>
        <v>0</v>
      </c>
      <c r="AU75" s="386">
        <f t="shared" si="90"/>
        <v>0.24934770000000001</v>
      </c>
      <c r="AV75" s="386">
        <f t="shared" si="91"/>
        <v>0.13741485052662814</v>
      </c>
      <c r="AW75" s="386">
        <f t="shared" si="92"/>
        <v>0.59328000000000003</v>
      </c>
      <c r="AX75" s="386">
        <f t="shared" si="93"/>
        <v>3.6000000000000004E-2</v>
      </c>
      <c r="AY75" s="386">
        <f t="shared" si="94"/>
        <v>6.6000000000000003E-2</v>
      </c>
      <c r="AZ75" s="386">
        <f t="shared" si="95"/>
        <v>4.3499999999999997E-2</v>
      </c>
      <c r="BA75" s="386">
        <f t="shared" ref="BA75:BA109" si="113">SUM(AX75:AY75)</f>
        <v>0.10200000000000001</v>
      </c>
      <c r="BB75" s="386">
        <f t="shared" ref="BB75:BB109" si="114">SUM(T75,W75,Z75,AE75,AI75,AN75,AR75, AT75,AU75,BA75,AV75,AW75)</f>
        <v>3.3995171652631315</v>
      </c>
      <c r="BC75">
        <f t="shared" si="96"/>
        <v>144</v>
      </c>
      <c r="BD75" s="604">
        <f t="shared" si="107"/>
        <v>0.97693671437572205</v>
      </c>
      <c r="BE75" s="614">
        <f t="shared" si="97"/>
        <v>57.702842765396426</v>
      </c>
      <c r="BF75" s="614">
        <f t="shared" si="98"/>
        <v>22.678990682729442</v>
      </c>
      <c r="BG75" s="9"/>
      <c r="BH75" s="4">
        <f t="shared" si="108"/>
        <v>97.693671437572206</v>
      </c>
      <c r="BI75" s="386">
        <f t="shared" si="109"/>
        <v>0.61529385571842266</v>
      </c>
      <c r="BJ75" s="386">
        <f t="shared" si="110"/>
        <v>1.8981469163890492</v>
      </c>
      <c r="BK75" s="386">
        <f t="shared" si="111"/>
        <v>0.53586455465458882</v>
      </c>
      <c r="BL75" s="386">
        <f t="shared" si="112"/>
        <v>0.13741485052662814</v>
      </c>
      <c r="BR75" s="18"/>
      <c r="BS75" s="19"/>
    </row>
    <row r="76" spans="1:71" x14ac:dyDescent="0.2">
      <c r="A76" s="34" t="s">
        <v>123</v>
      </c>
      <c r="B76" s="79">
        <f>B75*B62</f>
        <v>5.04</v>
      </c>
      <c r="C76" s="482" t="s">
        <v>673</v>
      </c>
      <c r="G76">
        <v>67</v>
      </c>
      <c r="H76" s="610">
        <f t="shared" si="59"/>
        <v>16.05</v>
      </c>
      <c r="I76" s="4" t="str">
        <f t="shared" si="60"/>
        <v>BUCK</v>
      </c>
      <c r="J76">
        <f t="shared" si="99"/>
        <v>1</v>
      </c>
      <c r="K76">
        <f t="shared" si="61"/>
        <v>12</v>
      </c>
      <c r="L76" s="4">
        <f t="shared" si="62"/>
        <v>9.9688473520249214</v>
      </c>
      <c r="M76" s="4">
        <f t="shared" si="63"/>
        <v>12</v>
      </c>
      <c r="N76" s="386">
        <f t="shared" si="64"/>
        <v>0.75516213194185611</v>
      </c>
      <c r="O76" s="386">
        <f t="shared" si="100"/>
        <v>0</v>
      </c>
      <c r="P76" s="4">
        <f t="shared" si="65"/>
        <v>2.5331030015622407</v>
      </c>
      <c r="Q76" s="386">
        <f t="shared" si="66"/>
        <v>12.022259253902472</v>
      </c>
      <c r="R76" s="386">
        <f t="shared" si="101"/>
        <v>0.50370236837263949</v>
      </c>
      <c r="S76" s="386">
        <f t="shared" si="67"/>
        <v>0.11954168158285443</v>
      </c>
      <c r="T76" s="386">
        <f t="shared" si="102"/>
        <v>0.62324404995549387</v>
      </c>
      <c r="U76" s="4">
        <f t="shared" si="68"/>
        <v>0.73124384991850433</v>
      </c>
      <c r="V76" s="386">
        <f t="shared" si="103"/>
        <v>1.0694351360872722E-3</v>
      </c>
      <c r="W76" s="386">
        <f t="shared" si="104"/>
        <v>1.0694351360872722E-3</v>
      </c>
      <c r="X76" s="386">
        <f t="shared" si="69"/>
        <v>5.1694636470954869</v>
      </c>
      <c r="Y76" s="386">
        <f t="shared" si="105"/>
        <v>5.3446708797283547E-2</v>
      </c>
      <c r="Z76" s="603">
        <f t="shared" si="106"/>
        <v>5.3446708797283547E-2</v>
      </c>
      <c r="AA76" s="386">
        <f t="shared" si="70"/>
        <v>10.44735112161441</v>
      </c>
      <c r="AB76" s="386">
        <f t="shared" si="71"/>
        <v>0.62213872911229795</v>
      </c>
      <c r="AC76" s="386">
        <f t="shared" si="72"/>
        <v>0.16478607954545454</v>
      </c>
      <c r="AD76">
        <f t="shared" si="73"/>
        <v>0</v>
      </c>
      <c r="AE76" s="386">
        <f t="shared" si="74"/>
        <v>0.89875484850412724</v>
      </c>
      <c r="AF76" s="386">
        <f t="shared" si="75"/>
        <v>5.948745423175021</v>
      </c>
      <c r="AG76" s="386">
        <f t="shared" si="76"/>
        <v>0.20170916102555084</v>
      </c>
      <c r="AH76" s="386">
        <f t="shared" si="77"/>
        <v>0.24</v>
      </c>
      <c r="AI76" s="386">
        <f t="shared" si="78"/>
        <v>0.46027760284739055</v>
      </c>
      <c r="AJ76" s="386">
        <f t="shared" si="79"/>
        <v>0</v>
      </c>
      <c r="AK76" s="386">
        <f t="shared" si="80"/>
        <v>0</v>
      </c>
      <c r="AL76" s="386">
        <f t="shared" si="81"/>
        <v>0</v>
      </c>
      <c r="AM76">
        <f t="shared" si="82"/>
        <v>0</v>
      </c>
      <c r="AN76" s="386">
        <f t="shared" si="83"/>
        <v>0</v>
      </c>
      <c r="AO76" s="386">
        <f t="shared" si="84"/>
        <v>12.022259253902472</v>
      </c>
      <c r="AP76" s="386">
        <f t="shared" si="85"/>
        <v>0.2746159633792829</v>
      </c>
      <c r="AQ76" s="386">
        <f t="shared" si="86"/>
        <v>0</v>
      </c>
      <c r="AR76" s="386">
        <f t="shared" si="87"/>
        <v>0.29057528578742786</v>
      </c>
      <c r="AS76" s="386">
        <f t="shared" si="88"/>
        <v>0.2746159633792829</v>
      </c>
      <c r="AT76" s="386">
        <f t="shared" si="89"/>
        <v>0</v>
      </c>
      <c r="AU76" s="386">
        <f t="shared" si="90"/>
        <v>0.2517102</v>
      </c>
      <c r="AV76" s="386">
        <f t="shared" si="91"/>
        <v>0.14155028843898304</v>
      </c>
      <c r="AW76" s="386">
        <f t="shared" si="92"/>
        <v>0.59328000000000003</v>
      </c>
      <c r="AX76" s="386">
        <f t="shared" si="93"/>
        <v>3.6000000000000004E-2</v>
      </c>
      <c r="AY76" s="386">
        <f t="shared" si="94"/>
        <v>6.6000000000000003E-2</v>
      </c>
      <c r="AZ76" s="386">
        <f t="shared" si="95"/>
        <v>4.3499999999999997E-2</v>
      </c>
      <c r="BA76" s="386">
        <f t="shared" si="113"/>
        <v>0.10200000000000001</v>
      </c>
      <c r="BB76" s="386">
        <f t="shared" si="114"/>
        <v>3.4159084194667937</v>
      </c>
      <c r="BC76">
        <f t="shared" si="96"/>
        <v>144</v>
      </c>
      <c r="BD76" s="604">
        <f t="shared" si="107"/>
        <v>0.97682808825661505</v>
      </c>
      <c r="BE76" s="614">
        <f t="shared" si="97"/>
        <v>57.523252425206358</v>
      </c>
      <c r="BF76" s="614">
        <f t="shared" si="98"/>
        <v>23.013880142369526</v>
      </c>
      <c r="BG76" s="9"/>
      <c r="BH76" s="4">
        <f t="shared" si="108"/>
        <v>97.68280882566151</v>
      </c>
      <c r="BI76" s="386">
        <f t="shared" si="109"/>
        <v>0.62324404995549387</v>
      </c>
      <c r="BJ76" s="386">
        <f t="shared" si="110"/>
        <v>1.9013179371389455</v>
      </c>
      <c r="BK76" s="386">
        <f t="shared" si="111"/>
        <v>0.54334196884739061</v>
      </c>
      <c r="BL76" s="386">
        <f t="shared" si="112"/>
        <v>0.14155028843898304</v>
      </c>
      <c r="BR76" s="18"/>
      <c r="BS76" s="19"/>
    </row>
    <row r="77" spans="1:71" x14ac:dyDescent="0.2">
      <c r="A77" s="34" t="s">
        <v>246</v>
      </c>
      <c r="B77" s="79">
        <f>(Qg_Q1+Qg_Q2)*Fsw+Iq</f>
        <v>8.5000000000000006E-3</v>
      </c>
      <c r="C77" s="21" t="s">
        <v>2</v>
      </c>
      <c r="G77">
        <v>68</v>
      </c>
      <c r="H77" s="610">
        <f t="shared" si="59"/>
        <v>16.200000000000003</v>
      </c>
      <c r="I77" s="4" t="str">
        <f t="shared" si="60"/>
        <v>BUCK</v>
      </c>
      <c r="J77">
        <f t="shared" si="99"/>
        <v>1</v>
      </c>
      <c r="K77">
        <f t="shared" si="61"/>
        <v>12</v>
      </c>
      <c r="L77" s="4">
        <f t="shared" si="62"/>
        <v>9.8765432098765409</v>
      </c>
      <c r="M77" s="4">
        <f t="shared" si="63"/>
        <v>12</v>
      </c>
      <c r="N77" s="386">
        <f t="shared" si="64"/>
        <v>0.74819054652880346</v>
      </c>
      <c r="O77" s="386">
        <f t="shared" si="100"/>
        <v>0</v>
      </c>
      <c r="P77" s="4">
        <f t="shared" si="65"/>
        <v>2.6052313209088931</v>
      </c>
      <c r="Q77" s="386">
        <f t="shared" si="66"/>
        <v>12.023543675623273</v>
      </c>
      <c r="R77" s="386">
        <f t="shared" si="101"/>
        <v>0.50381434038587181</v>
      </c>
      <c r="S77" s="386">
        <f t="shared" si="67"/>
        <v>0.12753020251354216</v>
      </c>
      <c r="T77" s="386">
        <f t="shared" si="102"/>
        <v>0.631344542899414</v>
      </c>
      <c r="U77" s="4">
        <f t="shared" si="68"/>
        <v>0.75206550221399693</v>
      </c>
      <c r="V77" s="386">
        <f t="shared" si="103"/>
        <v>1.1312050392407829E-3</v>
      </c>
      <c r="W77" s="386">
        <f t="shared" si="104"/>
        <v>1.1312050392407829E-3</v>
      </c>
      <c r="X77" s="386">
        <f t="shared" si="69"/>
        <v>5.2188475272493013</v>
      </c>
      <c r="Y77" s="386">
        <f t="shared" si="105"/>
        <v>5.4472739025352296E-2</v>
      </c>
      <c r="Z77" s="603">
        <f t="shared" si="106"/>
        <v>5.4472739025352296E-2</v>
      </c>
      <c r="AA77" s="386">
        <f t="shared" si="70"/>
        <v>10.400125824162926</v>
      </c>
      <c r="AB77" s="386">
        <f t="shared" si="71"/>
        <v>0.61652691780299729</v>
      </c>
      <c r="AC77" s="386">
        <f t="shared" si="72"/>
        <v>0.16632613636363638</v>
      </c>
      <c r="AD77">
        <f t="shared" si="73"/>
        <v>0</v>
      </c>
      <c r="AE77" s="386">
        <f t="shared" si="74"/>
        <v>0.89295980548632303</v>
      </c>
      <c r="AF77" s="386">
        <f t="shared" si="75"/>
        <v>6.0334886559270045</v>
      </c>
      <c r="AG77" s="386">
        <f t="shared" si="76"/>
        <v>0.20749701655883918</v>
      </c>
      <c r="AH77" s="386">
        <f t="shared" si="77"/>
        <v>0.24</v>
      </c>
      <c r="AI77" s="386">
        <f t="shared" si="78"/>
        <v>0.46687192277710687</v>
      </c>
      <c r="AJ77" s="386">
        <f t="shared" si="79"/>
        <v>0</v>
      </c>
      <c r="AK77" s="386">
        <f t="shared" si="80"/>
        <v>0</v>
      </c>
      <c r="AL77" s="386">
        <f t="shared" si="81"/>
        <v>0</v>
      </c>
      <c r="AM77">
        <f t="shared" si="82"/>
        <v>0</v>
      </c>
      <c r="AN77" s="386">
        <f t="shared" si="83"/>
        <v>0</v>
      </c>
      <c r="AO77" s="386">
        <f t="shared" si="84"/>
        <v>12.023543675623273</v>
      </c>
      <c r="AP77" s="386">
        <f t="shared" si="85"/>
        <v>0.27467464478727877</v>
      </c>
      <c r="AQ77" s="386">
        <f t="shared" si="86"/>
        <v>0</v>
      </c>
      <c r="AR77" s="386">
        <f t="shared" si="87"/>
        <v>0.29064098674631228</v>
      </c>
      <c r="AS77" s="386">
        <f t="shared" si="88"/>
        <v>0.27467464478727877</v>
      </c>
      <c r="AT77" s="386">
        <f t="shared" si="89"/>
        <v>0</v>
      </c>
      <c r="AU77" s="386">
        <f t="shared" si="90"/>
        <v>0.25407270000000004</v>
      </c>
      <c r="AV77" s="386">
        <f t="shared" si="91"/>
        <v>0.14561194144479941</v>
      </c>
      <c r="AW77" s="386">
        <f t="shared" si="92"/>
        <v>0.59328000000000003</v>
      </c>
      <c r="AX77" s="386">
        <f t="shared" si="93"/>
        <v>3.6000000000000004E-2</v>
      </c>
      <c r="AY77" s="386">
        <f t="shared" si="94"/>
        <v>6.6000000000000003E-2</v>
      </c>
      <c r="AZ77" s="386">
        <f t="shared" si="95"/>
        <v>4.3499999999999997E-2</v>
      </c>
      <c r="BA77" s="386">
        <f t="shared" si="113"/>
        <v>0.10200000000000001</v>
      </c>
      <c r="BB77" s="386">
        <f t="shared" si="114"/>
        <v>3.4323858434185492</v>
      </c>
      <c r="BC77">
        <f t="shared" si="96"/>
        <v>144</v>
      </c>
      <c r="BD77" s="604">
        <f t="shared" si="107"/>
        <v>0.97671891542836498</v>
      </c>
      <c r="BE77" s="614">
        <f t="shared" si="97"/>
        <v>57.351625274316156</v>
      </c>
      <c r="BF77" s="614">
        <f t="shared" si="98"/>
        <v>23.343596138855343</v>
      </c>
      <c r="BG77" s="9"/>
      <c r="BH77" s="4">
        <f t="shared" si="108"/>
        <v>97.671891542836491</v>
      </c>
      <c r="BI77" s="386">
        <f t="shared" si="109"/>
        <v>0.631344542899414</v>
      </c>
      <c r="BJ77" s="386">
        <f t="shared" si="110"/>
        <v>1.9045454150097421</v>
      </c>
      <c r="BK77" s="386">
        <f t="shared" si="111"/>
        <v>0.55071591377710694</v>
      </c>
      <c r="BL77" s="386">
        <f t="shared" si="112"/>
        <v>0.14561194144479941</v>
      </c>
      <c r="BR77" s="18"/>
      <c r="BS77" s="19"/>
    </row>
    <row r="78" spans="1:71" x14ac:dyDescent="0.2">
      <c r="A78" s="34" t="s">
        <v>247</v>
      </c>
      <c r="B78" s="78">
        <f>Qrr_Q2*Fsw</f>
        <v>1.575E-2</v>
      </c>
      <c r="C78" s="21" t="s">
        <v>2</v>
      </c>
      <c r="G78">
        <v>69</v>
      </c>
      <c r="H78" s="610">
        <f t="shared" si="59"/>
        <v>16.350000000000001</v>
      </c>
      <c r="I78" s="4" t="str">
        <f t="shared" si="60"/>
        <v>BUCK</v>
      </c>
      <c r="J78">
        <f t="shared" si="99"/>
        <v>1</v>
      </c>
      <c r="K78">
        <f t="shared" si="61"/>
        <v>12</v>
      </c>
      <c r="L78" s="4">
        <f t="shared" si="62"/>
        <v>9.7859327217125376</v>
      </c>
      <c r="M78" s="4">
        <f t="shared" si="63"/>
        <v>12</v>
      </c>
      <c r="N78" s="386">
        <f t="shared" si="64"/>
        <v>0.74134650567142335</v>
      </c>
      <c r="O78" s="386">
        <f t="shared" si="100"/>
        <v>0</v>
      </c>
      <c r="P78" s="4">
        <f t="shared" si="65"/>
        <v>2.6760400588551292</v>
      </c>
      <c r="Q78" s="386">
        <f t="shared" si="66"/>
        <v>12.024839535993115</v>
      </c>
      <c r="R78" s="386">
        <f t="shared" si="101"/>
        <v>0.50392732366292425</v>
      </c>
      <c r="S78" s="386">
        <f t="shared" si="67"/>
        <v>0.13565823725756979</v>
      </c>
      <c r="T78" s="386">
        <f t="shared" si="102"/>
        <v>0.63958556092049401</v>
      </c>
      <c r="U78" s="4">
        <f t="shared" si="68"/>
        <v>0.77250622417111547</v>
      </c>
      <c r="V78" s="386">
        <f t="shared" si="103"/>
        <v>1.1935317327662273E-3</v>
      </c>
      <c r="W78" s="386">
        <f t="shared" si="104"/>
        <v>1.1935317327662273E-3</v>
      </c>
      <c r="X78" s="386">
        <f t="shared" si="69"/>
        <v>5.2656148180623585</v>
      </c>
      <c r="Y78" s="386">
        <f t="shared" si="105"/>
        <v>5.5453398824395768E-2</v>
      </c>
      <c r="Z78" s="603">
        <f t="shared" si="106"/>
        <v>5.5453398824395768E-2</v>
      </c>
      <c r="AA78" s="386">
        <f t="shared" si="70"/>
        <v>10.353564946743322</v>
      </c>
      <c r="AB78" s="386">
        <f t="shared" si="71"/>
        <v>0.61101895050666277</v>
      </c>
      <c r="AC78" s="386">
        <f t="shared" si="72"/>
        <v>0.1678661931818182</v>
      </c>
      <c r="AD78">
        <f t="shared" si="73"/>
        <v>0</v>
      </c>
      <c r="AE78" s="386">
        <f t="shared" si="74"/>
        <v>0.88731887299717915</v>
      </c>
      <c r="AF78" s="386">
        <f t="shared" si="75"/>
        <v>6.11559144808996</v>
      </c>
      <c r="AG78" s="386">
        <f t="shared" si="76"/>
        <v>0.21318261493172103</v>
      </c>
      <c r="AH78" s="386">
        <f t="shared" si="77"/>
        <v>0.24</v>
      </c>
      <c r="AI78" s="386">
        <f t="shared" si="78"/>
        <v>0.4733652638863482</v>
      </c>
      <c r="AJ78" s="386">
        <f t="shared" si="79"/>
        <v>0</v>
      </c>
      <c r="AK78" s="386">
        <f t="shared" si="80"/>
        <v>0</v>
      </c>
      <c r="AL78" s="386">
        <f t="shared" si="81"/>
        <v>0</v>
      </c>
      <c r="AM78">
        <f t="shared" si="82"/>
        <v>0</v>
      </c>
      <c r="AN78" s="386">
        <f t="shared" si="83"/>
        <v>0</v>
      </c>
      <c r="AO78" s="386">
        <f t="shared" si="84"/>
        <v>12.024839535993115</v>
      </c>
      <c r="AP78" s="386">
        <f t="shared" si="85"/>
        <v>0.27473385514612791</v>
      </c>
      <c r="AQ78" s="386">
        <f t="shared" si="86"/>
        <v>0</v>
      </c>
      <c r="AR78" s="386">
        <f t="shared" si="87"/>
        <v>0.29070728158384401</v>
      </c>
      <c r="AS78" s="386">
        <f t="shared" si="88"/>
        <v>0.27473385514612791</v>
      </c>
      <c r="AT78" s="386">
        <f t="shared" si="89"/>
        <v>0</v>
      </c>
      <c r="AU78" s="386">
        <f t="shared" si="90"/>
        <v>0.25643520000000003</v>
      </c>
      <c r="AV78" s="386">
        <f t="shared" si="91"/>
        <v>0.14960183503980423</v>
      </c>
      <c r="AW78" s="386">
        <f t="shared" si="92"/>
        <v>0.59328000000000003</v>
      </c>
      <c r="AX78" s="386">
        <f t="shared" si="93"/>
        <v>3.6000000000000004E-2</v>
      </c>
      <c r="AY78" s="386">
        <f t="shared" si="94"/>
        <v>6.6000000000000003E-2</v>
      </c>
      <c r="AZ78" s="386">
        <f t="shared" si="95"/>
        <v>4.3499999999999997E-2</v>
      </c>
      <c r="BA78" s="386">
        <f t="shared" si="113"/>
        <v>0.10200000000000001</v>
      </c>
      <c r="BB78" s="386">
        <f t="shared" si="114"/>
        <v>3.4489409449848312</v>
      </c>
      <c r="BC78">
        <f t="shared" si="96"/>
        <v>144</v>
      </c>
      <c r="BD78" s="604">
        <f t="shared" si="107"/>
        <v>0.97660925251221931</v>
      </c>
      <c r="BE78" s="614">
        <f t="shared" si="97"/>
        <v>57.187703649858953</v>
      </c>
      <c r="BF78" s="614">
        <f t="shared" si="98"/>
        <v>23.668263194317412</v>
      </c>
      <c r="BG78" s="9"/>
      <c r="BH78" s="4">
        <f t="shared" si="108"/>
        <v>97.660925251221926</v>
      </c>
      <c r="BI78" s="386">
        <f t="shared" si="109"/>
        <v>0.63958556092049401</v>
      </c>
      <c r="BJ78" s="386">
        <f t="shared" si="110"/>
        <v>1.9078266184673716</v>
      </c>
      <c r="BK78" s="386">
        <f t="shared" si="111"/>
        <v>0.55798887988634815</v>
      </c>
      <c r="BL78" s="386">
        <f t="shared" si="112"/>
        <v>0.14960183503980423</v>
      </c>
      <c r="BR78" s="18"/>
      <c r="BS78" s="19"/>
    </row>
    <row r="79" spans="1:71" x14ac:dyDescent="0.2">
      <c r="A79" s="34" t="s">
        <v>248</v>
      </c>
      <c r="B79" s="78" t="e">
        <f>C79/Vin</f>
        <v>#NAME?</v>
      </c>
      <c r="C79" s="21" t="e">
        <f>Deadtime*Fsw*(Iripple_Vinnom/2)*(VsdTop+VsdBot)</f>
        <v>#NAME?</v>
      </c>
      <c r="G79">
        <v>70</v>
      </c>
      <c r="H79" s="610">
        <f t="shared" si="59"/>
        <v>16.5</v>
      </c>
      <c r="I79" s="4" t="str">
        <f t="shared" si="60"/>
        <v>BUCK</v>
      </c>
      <c r="J79">
        <f t="shared" si="99"/>
        <v>1</v>
      </c>
      <c r="K79">
        <f t="shared" si="61"/>
        <v>12</v>
      </c>
      <c r="L79" s="4">
        <f t="shared" si="62"/>
        <v>9.6969696969696972</v>
      </c>
      <c r="M79" s="4">
        <f t="shared" si="63"/>
        <v>12</v>
      </c>
      <c r="N79" s="386">
        <f t="shared" si="64"/>
        <v>0.73462654097171864</v>
      </c>
      <c r="O79" s="386">
        <f t="shared" si="100"/>
        <v>0</v>
      </c>
      <c r="P79" s="4">
        <f t="shared" si="65"/>
        <v>2.7455650995942174</v>
      </c>
      <c r="Q79" s="386">
        <f t="shared" si="66"/>
        <v>12.026145571615031</v>
      </c>
      <c r="R79" s="386">
        <f t="shared" si="101"/>
        <v>0.5040412084052599</v>
      </c>
      <c r="S79" s="386">
        <f t="shared" si="67"/>
        <v>0.14391654931542472</v>
      </c>
      <c r="T79" s="386">
        <f t="shared" si="102"/>
        <v>0.64795775772068465</v>
      </c>
      <c r="U79" s="4">
        <f t="shared" si="68"/>
        <v>0.79257637466418163</v>
      </c>
      <c r="V79" s="386">
        <f t="shared" si="103"/>
        <v>1.2563546193516343E-3</v>
      </c>
      <c r="W79" s="386">
        <f t="shared" si="104"/>
        <v>1.2563546193516343E-3</v>
      </c>
      <c r="X79" s="386">
        <f t="shared" si="69"/>
        <v>5.3099264620412088</v>
      </c>
      <c r="Y79" s="386">
        <f t="shared" si="105"/>
        <v>5.6390638064570939E-2</v>
      </c>
      <c r="Z79" s="603">
        <f t="shared" si="106"/>
        <v>5.6390638064570939E-2</v>
      </c>
      <c r="AA79" s="386">
        <f t="shared" si="70"/>
        <v>10.30765238180118</v>
      </c>
      <c r="AB79" s="386">
        <f t="shared" si="71"/>
        <v>0.6056118764570938</v>
      </c>
      <c r="AC79" s="386">
        <f t="shared" si="72"/>
        <v>0.16940624999999998</v>
      </c>
      <c r="AD79">
        <f t="shared" si="73"/>
        <v>0</v>
      </c>
      <c r="AE79" s="386">
        <f t="shared" si="74"/>
        <v>0.88182712207979441</v>
      </c>
      <c r="AF79" s="386">
        <f t="shared" si="75"/>
        <v>6.1951981151230555</v>
      </c>
      <c r="AG79" s="386">
        <f t="shared" si="76"/>
        <v>0.21876873420805829</v>
      </c>
      <c r="AH79" s="386">
        <f t="shared" si="77"/>
        <v>0.24</v>
      </c>
      <c r="AI79" s="386">
        <f t="shared" si="78"/>
        <v>0.47976003324749228</v>
      </c>
      <c r="AJ79" s="386">
        <f t="shared" si="79"/>
        <v>0</v>
      </c>
      <c r="AK79" s="386">
        <f t="shared" si="80"/>
        <v>0</v>
      </c>
      <c r="AL79" s="386">
        <f t="shared" si="81"/>
        <v>0</v>
      </c>
      <c r="AM79">
        <f t="shared" si="82"/>
        <v>0</v>
      </c>
      <c r="AN79" s="386">
        <f t="shared" si="83"/>
        <v>0</v>
      </c>
      <c r="AO79" s="386">
        <f t="shared" si="84"/>
        <v>12.026145571615031</v>
      </c>
      <c r="AP79" s="386">
        <f t="shared" si="85"/>
        <v>0.27479353688838404</v>
      </c>
      <c r="AQ79" s="386">
        <f t="shared" si="86"/>
        <v>0</v>
      </c>
      <c r="AR79" s="386">
        <f t="shared" si="87"/>
        <v>0.29077410588682362</v>
      </c>
      <c r="AS79" s="386">
        <f t="shared" si="88"/>
        <v>0.27479353688838404</v>
      </c>
      <c r="AT79" s="386">
        <f t="shared" si="89"/>
        <v>0</v>
      </c>
      <c r="AU79" s="386">
        <f t="shared" si="90"/>
        <v>0.25879770000000002</v>
      </c>
      <c r="AV79" s="386">
        <f t="shared" si="91"/>
        <v>0.15352191874249704</v>
      </c>
      <c r="AW79" s="386">
        <f t="shared" si="92"/>
        <v>0.59328000000000003</v>
      </c>
      <c r="AX79" s="386">
        <f t="shared" si="93"/>
        <v>3.6000000000000004E-2</v>
      </c>
      <c r="AY79" s="386">
        <f t="shared" si="94"/>
        <v>6.6000000000000003E-2</v>
      </c>
      <c r="AZ79" s="386">
        <f t="shared" si="95"/>
        <v>4.3499999999999997E-2</v>
      </c>
      <c r="BA79" s="386">
        <f t="shared" si="113"/>
        <v>0.10200000000000001</v>
      </c>
      <c r="BB79" s="386">
        <f t="shared" si="114"/>
        <v>3.465565630361215</v>
      </c>
      <c r="BC79">
        <f t="shared" si="96"/>
        <v>144</v>
      </c>
      <c r="BD79" s="604">
        <f t="shared" si="107"/>
        <v>0.97649915344272264</v>
      </c>
      <c r="BE79" s="614">
        <f t="shared" si="97"/>
        <v>57.031241103989714</v>
      </c>
      <c r="BF79" s="614">
        <f t="shared" si="98"/>
        <v>23.988001662374614</v>
      </c>
      <c r="BG79" s="9"/>
      <c r="BH79" s="4">
        <f t="shared" si="108"/>
        <v>97.649915344272259</v>
      </c>
      <c r="BI79" s="386">
        <f t="shared" si="109"/>
        <v>0.64795775772068465</v>
      </c>
      <c r="BJ79" s="386">
        <f t="shared" si="110"/>
        <v>1.9111589612141104</v>
      </c>
      <c r="BK79" s="386">
        <f t="shared" si="111"/>
        <v>0.56516327424749224</v>
      </c>
      <c r="BL79" s="386">
        <f t="shared" si="112"/>
        <v>0.15352191874249704</v>
      </c>
      <c r="BR79" s="18"/>
      <c r="BS79" s="19"/>
    </row>
    <row r="80" spans="1:71" x14ac:dyDescent="0.2">
      <c r="A80" s="34" t="s">
        <v>49</v>
      </c>
      <c r="B80" s="78" t="e">
        <f>SUM(B77:B79)</f>
        <v>#NAME?</v>
      </c>
      <c r="C80" s="21" t="s">
        <v>2</v>
      </c>
      <c r="G80">
        <v>71</v>
      </c>
      <c r="H80" s="610">
        <f t="shared" si="59"/>
        <v>16.649999999999999</v>
      </c>
      <c r="I80" s="4" t="str">
        <f t="shared" si="60"/>
        <v>BUCK</v>
      </c>
      <c r="J80">
        <f t="shared" si="99"/>
        <v>1</v>
      </c>
      <c r="K80">
        <f t="shared" si="61"/>
        <v>12</v>
      </c>
      <c r="L80" s="4">
        <f t="shared" si="62"/>
        <v>9.6096096096096097</v>
      </c>
      <c r="M80" s="4">
        <f t="shared" si="63"/>
        <v>12</v>
      </c>
      <c r="N80" s="386">
        <f t="shared" si="64"/>
        <v>0.72802730865971976</v>
      </c>
      <c r="O80" s="386">
        <f t="shared" si="100"/>
        <v>0</v>
      </c>
      <c r="P80" s="4">
        <f t="shared" si="65"/>
        <v>2.813841037912554</v>
      </c>
      <c r="Q80" s="386">
        <f t="shared" si="66"/>
        <v>12.027460598517326</v>
      </c>
      <c r="R80" s="386">
        <f t="shared" si="101"/>
        <v>0.50415589168875008</v>
      </c>
      <c r="S80" s="386">
        <f t="shared" si="67"/>
        <v>0.15229630964383903</v>
      </c>
      <c r="T80" s="386">
        <f t="shared" si="102"/>
        <v>0.65645220133258908</v>
      </c>
      <c r="U80" s="4">
        <f t="shared" si="68"/>
        <v>0.81228594034781454</v>
      </c>
      <c r="V80" s="386">
        <f t="shared" si="103"/>
        <v>1.3196168977734667E-3</v>
      </c>
      <c r="W80" s="386">
        <f t="shared" si="104"/>
        <v>1.3196168977734667E-3</v>
      </c>
      <c r="X80" s="386">
        <f t="shared" si="69"/>
        <v>5.351930035947043</v>
      </c>
      <c r="Y80" s="386">
        <f t="shared" si="105"/>
        <v>5.728631021934423E-2</v>
      </c>
      <c r="Z80" s="603">
        <f t="shared" si="106"/>
        <v>5.728631021934423E-2</v>
      </c>
      <c r="AA80" s="386">
        <f t="shared" si="70"/>
        <v>10.262372582218676</v>
      </c>
      <c r="AB80" s="386">
        <f t="shared" si="71"/>
        <v>0.60030285879275957</v>
      </c>
      <c r="AC80" s="386">
        <f t="shared" si="72"/>
        <v>0.17094630681818176</v>
      </c>
      <c r="AD80">
        <f t="shared" si="73"/>
        <v>0</v>
      </c>
      <c r="AE80" s="386">
        <f t="shared" si="74"/>
        <v>0.87647983583628775</v>
      </c>
      <c r="AF80" s="386">
        <f t="shared" si="75"/>
        <v>6.2724411063487198</v>
      </c>
      <c r="AG80" s="386">
        <f t="shared" si="76"/>
        <v>0.224258049365895</v>
      </c>
      <c r="AH80" s="386">
        <f t="shared" si="77"/>
        <v>0.24</v>
      </c>
      <c r="AI80" s="386">
        <f t="shared" si="78"/>
        <v>0.48605855819351018</v>
      </c>
      <c r="AJ80" s="386">
        <f t="shared" si="79"/>
        <v>0</v>
      </c>
      <c r="AK80" s="386">
        <f t="shared" si="80"/>
        <v>0</v>
      </c>
      <c r="AL80" s="386">
        <f t="shared" si="81"/>
        <v>0</v>
      </c>
      <c r="AM80">
        <f t="shared" si="82"/>
        <v>0</v>
      </c>
      <c r="AN80" s="386">
        <f t="shared" si="83"/>
        <v>0</v>
      </c>
      <c r="AO80" s="386">
        <f t="shared" si="84"/>
        <v>12.027460598517326</v>
      </c>
      <c r="AP80" s="386">
        <f t="shared" si="85"/>
        <v>0.27485363605288488</v>
      </c>
      <c r="AQ80" s="386">
        <f t="shared" si="86"/>
        <v>0</v>
      </c>
      <c r="AR80" s="386">
        <f t="shared" si="87"/>
        <v>0.29084139927391367</v>
      </c>
      <c r="AS80" s="386">
        <f t="shared" si="88"/>
        <v>0.27485363605288488</v>
      </c>
      <c r="AT80" s="386">
        <f t="shared" si="89"/>
        <v>0</v>
      </c>
      <c r="AU80" s="386">
        <f t="shared" si="90"/>
        <v>0.26116019999999995</v>
      </c>
      <c r="AV80" s="386">
        <f t="shared" si="91"/>
        <v>0.15737406973045262</v>
      </c>
      <c r="AW80" s="386">
        <f t="shared" si="92"/>
        <v>0.59328000000000003</v>
      </c>
      <c r="AX80" s="386">
        <f t="shared" si="93"/>
        <v>3.6000000000000004E-2</v>
      </c>
      <c r="AY80" s="386">
        <f t="shared" si="94"/>
        <v>6.6000000000000003E-2</v>
      </c>
      <c r="AZ80" s="386">
        <f t="shared" si="95"/>
        <v>4.3499999999999997E-2</v>
      </c>
      <c r="BA80" s="386">
        <f t="shared" si="113"/>
        <v>0.10200000000000001</v>
      </c>
      <c r="BB80" s="386">
        <f t="shared" si="114"/>
        <v>3.4822521914838709</v>
      </c>
      <c r="BC80">
        <f t="shared" si="96"/>
        <v>144</v>
      </c>
      <c r="BD80" s="604">
        <f t="shared" si="107"/>
        <v>0.97638866955352244</v>
      </c>
      <c r="BE80" s="614">
        <f t="shared" si="97"/>
        <v>56.882001791814382</v>
      </c>
      <c r="BF80" s="614">
        <f t="shared" si="98"/>
        <v>24.30292790967551</v>
      </c>
      <c r="BG80" s="9"/>
      <c r="BH80" s="4">
        <f t="shared" si="108"/>
        <v>97.638866955352242</v>
      </c>
      <c r="BI80" s="386">
        <f t="shared" si="109"/>
        <v>0.65645220133258908</v>
      </c>
      <c r="BJ80" s="386">
        <f t="shared" si="110"/>
        <v>1.9145399933037115</v>
      </c>
      <c r="BK80" s="386">
        <f t="shared" si="111"/>
        <v>0.57224142419351021</v>
      </c>
      <c r="BL80" s="386">
        <f t="shared" si="112"/>
        <v>0.15737406973045262</v>
      </c>
      <c r="BR80" s="18"/>
      <c r="BS80" s="19"/>
    </row>
    <row r="81" spans="1:71" x14ac:dyDescent="0.2">
      <c r="A81" s="2"/>
      <c r="G81">
        <v>72</v>
      </c>
      <c r="H81" s="610">
        <f t="shared" si="59"/>
        <v>16.799999999999997</v>
      </c>
      <c r="I81" s="4" t="str">
        <f t="shared" si="60"/>
        <v>BUCK</v>
      </c>
      <c r="J81">
        <f t="shared" si="99"/>
        <v>1</v>
      </c>
      <c r="K81">
        <f t="shared" si="61"/>
        <v>12</v>
      </c>
      <c r="L81" s="4">
        <f t="shared" si="62"/>
        <v>9.5238095238095255</v>
      </c>
      <c r="M81" s="4">
        <f t="shared" si="63"/>
        <v>12</v>
      </c>
      <c r="N81" s="386">
        <f t="shared" si="64"/>
        <v>0.72154558404558422</v>
      </c>
      <c r="O81" s="386">
        <f t="shared" si="100"/>
        <v>0</v>
      </c>
      <c r="P81" s="4">
        <f t="shared" si="65"/>
        <v>2.8809012365884699</v>
      </c>
      <c r="Q81" s="386">
        <f t="shared" si="66"/>
        <v>12.028783507123574</v>
      </c>
      <c r="R81" s="386">
        <f t="shared" si="101"/>
        <v>0.50427127702832464</v>
      </c>
      <c r="S81" s="386">
        <f t="shared" si="67"/>
        <v>0.16078908356309185</v>
      </c>
      <c r="T81" s="386">
        <f t="shared" si="102"/>
        <v>0.66506036059141649</v>
      </c>
      <c r="U81" s="4">
        <f t="shared" si="68"/>
        <v>0.83164455222653944</v>
      </c>
      <c r="V81" s="386">
        <f t="shared" si="103"/>
        <v>1.3832653224961626E-3</v>
      </c>
      <c r="W81" s="386">
        <f t="shared" si="104"/>
        <v>1.3832653224961626E-3</v>
      </c>
      <c r="X81" s="386">
        <f t="shared" si="69"/>
        <v>5.3917612100353223</v>
      </c>
      <c r="Y81" s="386">
        <f t="shared" si="105"/>
        <v>5.8142177892083126E-2</v>
      </c>
      <c r="Z81" s="603">
        <f t="shared" si="106"/>
        <v>5.8142177892083126E-2</v>
      </c>
      <c r="AA81" s="386">
        <f t="shared" si="70"/>
        <v>10.217710535881773</v>
      </c>
      <c r="AB81" s="386">
        <f t="shared" si="71"/>
        <v>0.59508916899189557</v>
      </c>
      <c r="AC81" s="386">
        <f t="shared" si="72"/>
        <v>0.1724863636363636</v>
      </c>
      <c r="AD81">
        <f t="shared" si="73"/>
        <v>0</v>
      </c>
      <c r="AE81" s="386">
        <f t="shared" si="74"/>
        <v>0.87127249798674411</v>
      </c>
      <c r="AF81" s="386">
        <f t="shared" si="75"/>
        <v>6.3474423247618974</v>
      </c>
      <c r="AG81" s="386">
        <f t="shared" si="76"/>
        <v>0.22965313717721875</v>
      </c>
      <c r="AH81" s="386">
        <f t="shared" si="77"/>
        <v>0.24</v>
      </c>
      <c r="AI81" s="386">
        <f t="shared" si="78"/>
        <v>0.49226308975287858</v>
      </c>
      <c r="AJ81" s="386">
        <f t="shared" si="79"/>
        <v>0</v>
      </c>
      <c r="AK81" s="386">
        <f t="shared" si="80"/>
        <v>0</v>
      </c>
      <c r="AL81" s="386">
        <f t="shared" si="81"/>
        <v>0</v>
      </c>
      <c r="AM81">
        <f t="shared" si="82"/>
        <v>0</v>
      </c>
      <c r="AN81" s="386">
        <f t="shared" si="83"/>
        <v>0</v>
      </c>
      <c r="AO81" s="386">
        <f t="shared" si="84"/>
        <v>12.028783507123574</v>
      </c>
      <c r="AP81" s="386">
        <f t="shared" si="85"/>
        <v>0.27491410205637146</v>
      </c>
      <c r="AQ81" s="386">
        <f t="shared" si="86"/>
        <v>0</v>
      </c>
      <c r="AR81" s="386">
        <f t="shared" si="87"/>
        <v>0.29090910514030538</v>
      </c>
      <c r="AS81" s="386">
        <f t="shared" si="88"/>
        <v>0.27491410205637146</v>
      </c>
      <c r="AT81" s="386">
        <f t="shared" si="89"/>
        <v>0</v>
      </c>
      <c r="AU81" s="386">
        <f t="shared" si="90"/>
        <v>0.26352269999999994</v>
      </c>
      <c r="AV81" s="386">
        <f t="shared" si="91"/>
        <v>0.16116009626471489</v>
      </c>
      <c r="AW81" s="386">
        <f t="shared" si="92"/>
        <v>0.59328000000000003</v>
      </c>
      <c r="AX81" s="386">
        <f t="shared" si="93"/>
        <v>3.6000000000000004E-2</v>
      </c>
      <c r="AY81" s="386">
        <f t="shared" si="94"/>
        <v>6.6000000000000003E-2</v>
      </c>
      <c r="AZ81" s="386">
        <f t="shared" si="95"/>
        <v>4.3499999999999997E-2</v>
      </c>
      <c r="BA81" s="386">
        <f t="shared" si="113"/>
        <v>0.10200000000000001</v>
      </c>
      <c r="BB81" s="386">
        <f t="shared" si="114"/>
        <v>3.4989932929506384</v>
      </c>
      <c r="BC81">
        <f t="shared" si="96"/>
        <v>144</v>
      </c>
      <c r="BD81" s="604">
        <f t="shared" si="107"/>
        <v>0.97627784966639586</v>
      </c>
      <c r="BE81" s="614">
        <f t="shared" si="97"/>
        <v>56.739759899337209</v>
      </c>
      <c r="BF81" s="614">
        <f t="shared" si="98"/>
        <v>24.613154487643929</v>
      </c>
      <c r="BG81" s="9"/>
      <c r="BH81" s="4">
        <f t="shared" si="108"/>
        <v>97.627784966639581</v>
      </c>
      <c r="BI81" s="386">
        <f t="shared" si="109"/>
        <v>0.66506036059141649</v>
      </c>
      <c r="BJ81" s="386">
        <f t="shared" si="110"/>
        <v>1.9179673928799281</v>
      </c>
      <c r="BK81" s="386">
        <f t="shared" si="111"/>
        <v>0.57922558075287855</v>
      </c>
      <c r="BL81" s="386">
        <f t="shared" si="112"/>
        <v>0.16116009626471489</v>
      </c>
      <c r="BR81" s="18"/>
      <c r="BS81" s="19"/>
    </row>
    <row r="82" spans="1:71" x14ac:dyDescent="0.2">
      <c r="A82" s="2"/>
      <c r="G82">
        <v>73</v>
      </c>
      <c r="H82" s="610">
        <f t="shared" si="59"/>
        <v>16.95</v>
      </c>
      <c r="I82" s="4" t="str">
        <f t="shared" si="60"/>
        <v>BUCK</v>
      </c>
      <c r="J82">
        <f t="shared" si="99"/>
        <v>1</v>
      </c>
      <c r="K82">
        <f t="shared" si="61"/>
        <v>12</v>
      </c>
      <c r="L82" s="4">
        <f t="shared" si="62"/>
        <v>9.4395280235988199</v>
      </c>
      <c r="M82" s="4">
        <f t="shared" si="63"/>
        <v>12</v>
      </c>
      <c r="N82" s="386">
        <f t="shared" si="64"/>
        <v>0.71517825626544307</v>
      </c>
      <c r="O82" s="386">
        <f t="shared" si="100"/>
        <v>0</v>
      </c>
      <c r="P82" s="4">
        <f t="shared" si="65"/>
        <v>2.9467778807519283</v>
      </c>
      <c r="Q82" s="386">
        <f t="shared" si="66"/>
        <v>12.030113257566368</v>
      </c>
      <c r="R82" s="386">
        <f t="shared" si="101"/>
        <v>0.50438727397247773</v>
      </c>
      <c r="S82" s="386">
        <f t="shared" si="67"/>
        <v>0.16938681732106131</v>
      </c>
      <c r="T82" s="386">
        <f t="shared" si="102"/>
        <v>0.67377409129353905</v>
      </c>
      <c r="U82" s="4">
        <f t="shared" si="68"/>
        <v>0.85066150134708041</v>
      </c>
      <c r="V82" s="386">
        <f t="shared" si="103"/>
        <v>1.4472499797481377E-3</v>
      </c>
      <c r="W82" s="386">
        <f t="shared" si="104"/>
        <v>1.4472499797481377E-3</v>
      </c>
      <c r="X82" s="386">
        <f t="shared" si="69"/>
        <v>5.4295450076155882</v>
      </c>
      <c r="Y82" s="386">
        <f t="shared" si="105"/>
        <v>5.8959917979446719E-2</v>
      </c>
      <c r="Z82" s="603">
        <f t="shared" si="106"/>
        <v>5.8959917979446719E-2</v>
      </c>
      <c r="AA82" s="386">
        <f t="shared" si="70"/>
        <v>10.173651741664449</v>
      </c>
      <c r="AB82" s="386">
        <f t="shared" si="71"/>
        <v>0.58996818163583087</v>
      </c>
      <c r="AC82" s="386">
        <f t="shared" si="72"/>
        <v>0.17402642045454542</v>
      </c>
      <c r="AD82">
        <f t="shared" si="73"/>
        <v>0</v>
      </c>
      <c r="AE82" s="386">
        <f t="shared" si="74"/>
        <v>0.86620078216778928</v>
      </c>
      <c r="AF82" s="386">
        <f t="shared" si="75"/>
        <v>6.4203142624954141</v>
      </c>
      <c r="AG82" s="386">
        <f t="shared" si="76"/>
        <v>0.2349564808064516</v>
      </c>
      <c r="AH82" s="386">
        <f t="shared" si="77"/>
        <v>0.24</v>
      </c>
      <c r="AI82" s="386">
        <f t="shared" si="78"/>
        <v>0.49837580590117542</v>
      </c>
      <c r="AJ82" s="386">
        <f t="shared" si="79"/>
        <v>0</v>
      </c>
      <c r="AK82" s="386">
        <f t="shared" si="80"/>
        <v>0</v>
      </c>
      <c r="AL82" s="386">
        <f t="shared" si="81"/>
        <v>0</v>
      </c>
      <c r="AM82">
        <f t="shared" si="82"/>
        <v>0</v>
      </c>
      <c r="AN82" s="386">
        <f t="shared" si="83"/>
        <v>0</v>
      </c>
      <c r="AO82" s="386">
        <f t="shared" si="84"/>
        <v>12.030113257566368</v>
      </c>
      <c r="AP82" s="386">
        <f t="shared" si="85"/>
        <v>0.27497488748076082</v>
      </c>
      <c r="AQ82" s="386">
        <f t="shared" si="86"/>
        <v>0</v>
      </c>
      <c r="AR82" s="386">
        <f t="shared" si="87"/>
        <v>0.29097717041989707</v>
      </c>
      <c r="AS82" s="386">
        <f t="shared" si="88"/>
        <v>0.27497488748076082</v>
      </c>
      <c r="AT82" s="386">
        <f t="shared" si="89"/>
        <v>0</v>
      </c>
      <c r="AU82" s="386">
        <f t="shared" si="90"/>
        <v>0.26588519999999999</v>
      </c>
      <c r="AV82" s="386">
        <f t="shared" si="91"/>
        <v>0.16488174091680813</v>
      </c>
      <c r="AW82" s="386">
        <f t="shared" si="92"/>
        <v>0.59328000000000003</v>
      </c>
      <c r="AX82" s="386">
        <f t="shared" si="93"/>
        <v>3.6000000000000004E-2</v>
      </c>
      <c r="AY82" s="386">
        <f t="shared" si="94"/>
        <v>6.6000000000000003E-2</v>
      </c>
      <c r="AZ82" s="386">
        <f t="shared" si="95"/>
        <v>4.3499999999999997E-2</v>
      </c>
      <c r="BA82" s="386">
        <f t="shared" si="113"/>
        <v>0.10200000000000001</v>
      </c>
      <c r="BB82" s="386">
        <f t="shared" si="114"/>
        <v>3.5157819586584038</v>
      </c>
      <c r="BC82">
        <f t="shared" si="96"/>
        <v>144</v>
      </c>
      <c r="BD82" s="604">
        <f t="shared" si="107"/>
        <v>0.97616674018212024</v>
      </c>
      <c r="BE82" s="614">
        <f t="shared" si="97"/>
        <v>56.604299108389469</v>
      </c>
      <c r="BF82" s="614">
        <f t="shared" si="98"/>
        <v>24.91879029505877</v>
      </c>
      <c r="BG82" s="9"/>
      <c r="BH82" s="4">
        <f t="shared" si="108"/>
        <v>97.616674018212024</v>
      </c>
      <c r="BI82" s="386">
        <f t="shared" si="109"/>
        <v>0.67377409129353905</v>
      </c>
      <c r="BJ82" s="386">
        <f t="shared" si="110"/>
        <v>1.9214389584888618</v>
      </c>
      <c r="BK82" s="386">
        <f t="shared" si="111"/>
        <v>0.5861179219011754</v>
      </c>
      <c r="BL82" s="386">
        <f t="shared" si="112"/>
        <v>0.16488174091680813</v>
      </c>
      <c r="BR82" s="18"/>
      <c r="BS82" s="19"/>
    </row>
    <row r="83" spans="1:71" x14ac:dyDescent="0.2">
      <c r="A83" s="2"/>
      <c r="G83">
        <v>74</v>
      </c>
      <c r="H83" s="610">
        <f t="shared" si="59"/>
        <v>17.100000000000001</v>
      </c>
      <c r="I83" s="4" t="str">
        <f t="shared" si="60"/>
        <v>BUCK</v>
      </c>
      <c r="J83">
        <f t="shared" si="99"/>
        <v>1</v>
      </c>
      <c r="K83">
        <f t="shared" si="61"/>
        <v>12</v>
      </c>
      <c r="L83" s="4">
        <f t="shared" si="62"/>
        <v>9.3567251461988281</v>
      </c>
      <c r="M83" s="4">
        <f t="shared" si="63"/>
        <v>12</v>
      </c>
      <c r="N83" s="386">
        <f t="shared" si="64"/>
        <v>0.70892232330300908</v>
      </c>
      <c r="O83" s="386">
        <f t="shared" si="100"/>
        <v>0</v>
      </c>
      <c r="P83" s="4">
        <f t="shared" si="65"/>
        <v>3.0115020293911838</v>
      </c>
      <c r="Q83" s="386">
        <f t="shared" si="66"/>
        <v>12.031448875319171</v>
      </c>
      <c r="R83" s="386">
        <f t="shared" si="101"/>
        <v>0.50450379772538045</v>
      </c>
      <c r="S83" s="386">
        <f t="shared" si="67"/>
        <v>0.1780818244870731</v>
      </c>
      <c r="T83" s="386">
        <f t="shared" si="102"/>
        <v>0.68258562221245356</v>
      </c>
      <c r="U83" s="4">
        <f t="shared" si="68"/>
        <v>0.86934575366705213</v>
      </c>
      <c r="V83" s="386">
        <f t="shared" si="103"/>
        <v>1.5115240788378698E-3</v>
      </c>
      <c r="W83" s="386">
        <f t="shared" si="104"/>
        <v>1.5115240788378698E-3</v>
      </c>
      <c r="X83" s="386">
        <f t="shared" si="69"/>
        <v>5.4653968976899678</v>
      </c>
      <c r="Y83" s="386">
        <f t="shared" si="105"/>
        <v>5.9741126498558256E-2</v>
      </c>
      <c r="Z83" s="603">
        <f t="shared" si="106"/>
        <v>5.9741126498558256E-2</v>
      </c>
      <c r="AA83" s="386">
        <f t="shared" si="70"/>
        <v>10.13018218673694</v>
      </c>
      <c r="AB83" s="386">
        <f t="shared" si="71"/>
        <v>0.58493736947794983</v>
      </c>
      <c r="AC83" s="386">
        <f t="shared" si="72"/>
        <v>0.17556647727272728</v>
      </c>
      <c r="AD83">
        <f t="shared" si="73"/>
        <v>0</v>
      </c>
      <c r="AE83" s="386">
        <f t="shared" si="74"/>
        <v>0.86126054191529422</v>
      </c>
      <c r="AF83" s="386">
        <f t="shared" si="75"/>
        <v>6.4911609826699372</v>
      </c>
      <c r="AG83" s="386">
        <f t="shared" si="76"/>
        <v>0.24017047414673831</v>
      </c>
      <c r="AH83" s="386">
        <f t="shared" si="77"/>
        <v>0.24</v>
      </c>
      <c r="AI83" s="386">
        <f t="shared" si="78"/>
        <v>0.50439881464101533</v>
      </c>
      <c r="AJ83" s="386">
        <f t="shared" si="79"/>
        <v>0</v>
      </c>
      <c r="AK83" s="386">
        <f t="shared" si="80"/>
        <v>0</v>
      </c>
      <c r="AL83" s="386">
        <f t="shared" si="81"/>
        <v>0</v>
      </c>
      <c r="AM83">
        <f t="shared" si="82"/>
        <v>0</v>
      </c>
      <c r="AN83" s="386">
        <f t="shared" si="83"/>
        <v>0</v>
      </c>
      <c r="AO83" s="386">
        <f t="shared" si="84"/>
        <v>12.031448875319171</v>
      </c>
      <c r="AP83" s="386">
        <f t="shared" si="85"/>
        <v>0.27503594787489599</v>
      </c>
      <c r="AQ83" s="386">
        <f t="shared" si="86"/>
        <v>0</v>
      </c>
      <c r="AR83" s="386">
        <f t="shared" si="87"/>
        <v>0.2910455453636685</v>
      </c>
      <c r="AS83" s="386">
        <f t="shared" si="88"/>
        <v>0.27503594787489599</v>
      </c>
      <c r="AT83" s="386">
        <f t="shared" si="89"/>
        <v>0</v>
      </c>
      <c r="AU83" s="386">
        <f t="shared" si="90"/>
        <v>0.26824770000000003</v>
      </c>
      <c r="AV83" s="386">
        <f t="shared" si="91"/>
        <v>0.16854068361174618</v>
      </c>
      <c r="AW83" s="386">
        <f t="shared" si="92"/>
        <v>0.59328000000000003</v>
      </c>
      <c r="AX83" s="386">
        <f t="shared" si="93"/>
        <v>3.6000000000000004E-2</v>
      </c>
      <c r="AY83" s="386">
        <f t="shared" si="94"/>
        <v>6.6000000000000003E-2</v>
      </c>
      <c r="AZ83" s="386">
        <f t="shared" si="95"/>
        <v>4.3499999999999997E-2</v>
      </c>
      <c r="BA83" s="386">
        <f t="shared" si="113"/>
        <v>0.10200000000000001</v>
      </c>
      <c r="BB83" s="386">
        <f t="shared" si="114"/>
        <v>3.5326115583215736</v>
      </c>
      <c r="BC83">
        <f t="shared" si="96"/>
        <v>144</v>
      </c>
      <c r="BD83" s="604">
        <f t="shared" si="107"/>
        <v>0.97605538517207713</v>
      </c>
      <c r="BE83" s="614">
        <f t="shared" si="97"/>
        <v>56.47541209576471</v>
      </c>
      <c r="BF83" s="614">
        <f t="shared" si="98"/>
        <v>25.219940732050766</v>
      </c>
      <c r="BG83" s="9"/>
      <c r="BH83" s="4">
        <f t="shared" si="108"/>
        <v>97.605538517207719</v>
      </c>
      <c r="BI83" s="386">
        <f t="shared" si="109"/>
        <v>0.68258562221245356</v>
      </c>
      <c r="BJ83" s="386">
        <f t="shared" si="110"/>
        <v>1.9249526019199781</v>
      </c>
      <c r="BK83" s="386">
        <f t="shared" si="111"/>
        <v>0.59292055564101531</v>
      </c>
      <c r="BL83" s="386">
        <f t="shared" si="112"/>
        <v>0.16854068361174618</v>
      </c>
      <c r="BR83" s="18"/>
      <c r="BS83" s="19"/>
    </row>
    <row r="84" spans="1:71" x14ac:dyDescent="0.2">
      <c r="G84">
        <v>75</v>
      </c>
      <c r="H84" s="610">
        <f t="shared" si="59"/>
        <v>17.25</v>
      </c>
      <c r="I84" s="4" t="str">
        <f t="shared" si="60"/>
        <v>BUCK</v>
      </c>
      <c r="J84">
        <f t="shared" si="99"/>
        <v>1</v>
      </c>
      <c r="K84">
        <f t="shared" si="61"/>
        <v>12</v>
      </c>
      <c r="L84" s="4">
        <f t="shared" si="62"/>
        <v>9.27536231884058</v>
      </c>
      <c r="M84" s="4">
        <f t="shared" si="63"/>
        <v>12</v>
      </c>
      <c r="N84" s="386">
        <f t="shared" si="64"/>
        <v>0.70277488727020465</v>
      </c>
      <c r="O84" s="386">
        <f t="shared" si="100"/>
        <v>0</v>
      </c>
      <c r="P84" s="4">
        <f t="shared" si="65"/>
        <v>3.0751036641796006</v>
      </c>
      <c r="Q84" s="386">
        <f t="shared" si="66"/>
        <v>12.032789447122706</v>
      </c>
      <c r="R84" s="386">
        <f t="shared" si="101"/>
        <v>0.50462076879454598</v>
      </c>
      <c r="S84" s="386">
        <f t="shared" si="67"/>
        <v>0.18686677231365997</v>
      </c>
      <c r="T84" s="386">
        <f t="shared" si="102"/>
        <v>0.69148754110820598</v>
      </c>
      <c r="U84" s="4">
        <f t="shared" si="68"/>
        <v>0.88770596415004854</v>
      </c>
      <c r="V84" s="386">
        <f t="shared" si="103"/>
        <v>1.5760437575751344E-3</v>
      </c>
      <c r="W84" s="386">
        <f t="shared" si="104"/>
        <v>1.5760437575751344E-3</v>
      </c>
      <c r="X84" s="386">
        <f t="shared" si="69"/>
        <v>5.4994237472078309</v>
      </c>
      <c r="Y84" s="386">
        <f t="shared" si="105"/>
        <v>6.0487323102706839E-2</v>
      </c>
      <c r="Z84" s="603">
        <f t="shared" si="106"/>
        <v>6.0487323102706839E-2</v>
      </c>
      <c r="AA84" s="386">
        <f t="shared" si="70"/>
        <v>10.087288325112</v>
      </c>
      <c r="AB84" s="386">
        <f t="shared" si="71"/>
        <v>0.57999429879746289</v>
      </c>
      <c r="AC84" s="386">
        <f t="shared" si="72"/>
        <v>0.17710653409090907</v>
      </c>
      <c r="AD84">
        <f t="shared" si="73"/>
        <v>0</v>
      </c>
      <c r="AE84" s="386">
        <f t="shared" si="74"/>
        <v>0.85644780128042575</v>
      </c>
      <c r="AF84" s="386">
        <f t="shared" si="75"/>
        <v>6.5600789724550355</v>
      </c>
      <c r="AG84" s="386">
        <f t="shared" si="76"/>
        <v>0.24529742591162629</v>
      </c>
      <c r="AH84" s="386">
        <f t="shared" si="77"/>
        <v>0.24</v>
      </c>
      <c r="AI84" s="386">
        <f t="shared" si="78"/>
        <v>0.51033415692113304</v>
      </c>
      <c r="AJ84" s="386">
        <f t="shared" si="79"/>
        <v>0</v>
      </c>
      <c r="AK84" s="386">
        <f t="shared" si="80"/>
        <v>0</v>
      </c>
      <c r="AL84" s="386">
        <f t="shared" si="81"/>
        <v>0</v>
      </c>
      <c r="AM84">
        <f t="shared" si="82"/>
        <v>0</v>
      </c>
      <c r="AN84" s="386">
        <f t="shared" si="83"/>
        <v>0</v>
      </c>
      <c r="AO84" s="386">
        <f t="shared" si="84"/>
        <v>12.032789447122706</v>
      </c>
      <c r="AP84" s="386">
        <f t="shared" si="85"/>
        <v>0.27509724156969634</v>
      </c>
      <c r="AQ84" s="386">
        <f t="shared" si="86"/>
        <v>0</v>
      </c>
      <c r="AR84" s="386">
        <f t="shared" si="87"/>
        <v>0.29111418333304334</v>
      </c>
      <c r="AS84" s="386">
        <f t="shared" si="88"/>
        <v>0.27509724156969634</v>
      </c>
      <c r="AT84" s="386">
        <f t="shared" si="89"/>
        <v>0</v>
      </c>
      <c r="AU84" s="386">
        <f t="shared" si="90"/>
        <v>0.27061019999999997</v>
      </c>
      <c r="AV84" s="386">
        <f t="shared" si="91"/>
        <v>0.17213854449938687</v>
      </c>
      <c r="AW84" s="386">
        <f t="shared" si="92"/>
        <v>0.59328000000000003</v>
      </c>
      <c r="AX84" s="386">
        <f t="shared" si="93"/>
        <v>3.6000000000000004E-2</v>
      </c>
      <c r="AY84" s="386">
        <f t="shared" si="94"/>
        <v>6.6000000000000003E-2</v>
      </c>
      <c r="AZ84" s="386">
        <f t="shared" si="95"/>
        <v>4.3499999999999997E-2</v>
      </c>
      <c r="BA84" s="386">
        <f t="shared" si="113"/>
        <v>0.10200000000000001</v>
      </c>
      <c r="BB84" s="386">
        <f t="shared" si="114"/>
        <v>3.5494757940024773</v>
      </c>
      <c r="BC84">
        <f t="shared" si="96"/>
        <v>144</v>
      </c>
      <c r="BD84" s="604">
        <f t="shared" si="107"/>
        <v>0.97594382646971922</v>
      </c>
      <c r="BE84" s="614">
        <f t="shared" si="97"/>
        <v>56.352900064021284</v>
      </c>
      <c r="BF84" s="614">
        <f t="shared" si="98"/>
        <v>25.516707846056651</v>
      </c>
      <c r="BG84" s="9"/>
      <c r="BH84" s="4">
        <f t="shared" si="108"/>
        <v>97.594382646971923</v>
      </c>
      <c r="BI84" s="386">
        <f t="shared" si="109"/>
        <v>0.69148754110820598</v>
      </c>
      <c r="BJ84" s="386">
        <f t="shared" si="110"/>
        <v>1.928506341534602</v>
      </c>
      <c r="BK84" s="386">
        <f t="shared" si="111"/>
        <v>0.59963552292113298</v>
      </c>
      <c r="BL84" s="386">
        <f t="shared" si="112"/>
        <v>0.17213854449938687</v>
      </c>
      <c r="BR84" s="18"/>
      <c r="BS84" s="19"/>
    </row>
    <row r="85" spans="1:71" x14ac:dyDescent="0.2">
      <c r="G85">
        <v>76</v>
      </c>
      <c r="H85" s="610">
        <f t="shared" si="59"/>
        <v>17.399999999999999</v>
      </c>
      <c r="I85" s="4" t="str">
        <f t="shared" si="60"/>
        <v>BUCK</v>
      </c>
      <c r="J85">
        <f t="shared" si="99"/>
        <v>1</v>
      </c>
      <c r="K85">
        <f t="shared" si="61"/>
        <v>12</v>
      </c>
      <c r="L85" s="4">
        <f t="shared" si="62"/>
        <v>9.1954022988505759</v>
      </c>
      <c r="M85" s="4">
        <f t="shared" si="63"/>
        <v>12</v>
      </c>
      <c r="N85" s="386">
        <f t="shared" si="64"/>
        <v>0.69673314993122426</v>
      </c>
      <c r="O85" s="386">
        <f t="shared" si="100"/>
        <v>0</v>
      </c>
      <c r="P85" s="4">
        <f t="shared" si="65"/>
        <v>3.1376117357838975</v>
      </c>
      <c r="Q85" s="386">
        <f t="shared" si="66"/>
        <v>12.034134117184227</v>
      </c>
      <c r="R85" s="386">
        <f t="shared" si="101"/>
        <v>0.50473811266215707</v>
      </c>
      <c r="S85" s="386">
        <f t="shared" si="67"/>
        <v>0.19573466817592886</v>
      </c>
      <c r="T85" s="386">
        <f t="shared" si="102"/>
        <v>0.70047278083808595</v>
      </c>
      <c r="U85" s="4">
        <f t="shared" si="68"/>
        <v>0.90575049013368114</v>
      </c>
      <c r="V85" s="386">
        <f t="shared" si="103"/>
        <v>1.6407679007548073E-3</v>
      </c>
      <c r="W85" s="386">
        <f t="shared" si="104"/>
        <v>1.6407679007548073E-3</v>
      </c>
      <c r="X85" s="386">
        <f t="shared" si="69"/>
        <v>5.5317246545851999</v>
      </c>
      <c r="Y85" s="386">
        <f t="shared" si="105"/>
        <v>6.1199955308291504E-2</v>
      </c>
      <c r="Z85" s="603">
        <f t="shared" si="106"/>
        <v>6.1199955308291504E-2</v>
      </c>
      <c r="AA85" s="386">
        <f t="shared" si="70"/>
        <v>10.044957057349512</v>
      </c>
      <c r="AB85" s="386">
        <f t="shared" si="71"/>
        <v>0.57513662501877583</v>
      </c>
      <c r="AC85" s="386">
        <f t="shared" si="72"/>
        <v>0.17864659090909088</v>
      </c>
      <c r="AD85">
        <f t="shared" si="73"/>
        <v>0</v>
      </c>
      <c r="AE85" s="386">
        <f t="shared" si="74"/>
        <v>0.85175874603254298</v>
      </c>
      <c r="AF85" s="386">
        <f t="shared" si="75"/>
        <v>6.62715788753985</v>
      </c>
      <c r="AG85" s="386">
        <f t="shared" si="76"/>
        <v>0.25033956349837538</v>
      </c>
      <c r="AH85" s="386">
        <f t="shared" si="77"/>
        <v>0.24</v>
      </c>
      <c r="AI85" s="386">
        <f t="shared" si="78"/>
        <v>0.51618380940463215</v>
      </c>
      <c r="AJ85" s="386">
        <f t="shared" si="79"/>
        <v>0</v>
      </c>
      <c r="AK85" s="386">
        <f t="shared" si="80"/>
        <v>0</v>
      </c>
      <c r="AL85" s="386">
        <f t="shared" si="81"/>
        <v>0</v>
      </c>
      <c r="AM85">
        <f t="shared" si="82"/>
        <v>0</v>
      </c>
      <c r="AN85" s="386">
        <f t="shared" si="83"/>
        <v>0</v>
      </c>
      <c r="AO85" s="386">
        <f t="shared" si="84"/>
        <v>12.034134117184227</v>
      </c>
      <c r="AP85" s="386">
        <f t="shared" si="85"/>
        <v>0.27515872950571701</v>
      </c>
      <c r="AQ85" s="386">
        <f t="shared" si="86"/>
        <v>0</v>
      </c>
      <c r="AR85" s="386">
        <f t="shared" si="87"/>
        <v>0.29118304060713096</v>
      </c>
      <c r="AS85" s="386">
        <f t="shared" si="88"/>
        <v>0.27515872950571701</v>
      </c>
      <c r="AT85" s="386">
        <f t="shared" si="89"/>
        <v>0</v>
      </c>
      <c r="AU85" s="386">
        <f t="shared" si="90"/>
        <v>0.27297269999999996</v>
      </c>
      <c r="AV85" s="386">
        <f t="shared" si="91"/>
        <v>0.17567688666552658</v>
      </c>
      <c r="AW85" s="386">
        <f t="shared" si="92"/>
        <v>0.59328000000000003</v>
      </c>
      <c r="AX85" s="386">
        <f t="shared" si="93"/>
        <v>3.6000000000000004E-2</v>
      </c>
      <c r="AY85" s="386">
        <f t="shared" si="94"/>
        <v>6.6000000000000003E-2</v>
      </c>
      <c r="AZ85" s="386">
        <f t="shared" si="95"/>
        <v>4.3499999999999997E-2</v>
      </c>
      <c r="BA85" s="386">
        <f t="shared" si="113"/>
        <v>0.10200000000000001</v>
      </c>
      <c r="BB85" s="386">
        <f t="shared" si="114"/>
        <v>3.5663686867569644</v>
      </c>
      <c r="BC85">
        <f t="shared" si="96"/>
        <v>144</v>
      </c>
      <c r="BD85" s="604">
        <f t="shared" si="107"/>
        <v>0.97583210376120733</v>
      </c>
      <c r="BE85" s="614">
        <f t="shared" si="97"/>
        <v>56.236572301627149</v>
      </c>
      <c r="BF85" s="614">
        <f t="shared" si="98"/>
        <v>25.809190470231609</v>
      </c>
      <c r="BG85" s="9"/>
      <c r="BH85" s="4">
        <f t="shared" si="108"/>
        <v>97.583210376120732</v>
      </c>
      <c r="BI85" s="386">
        <f t="shared" si="109"/>
        <v>0.70047278083808595</v>
      </c>
      <c r="BJ85" s="386">
        <f t="shared" si="110"/>
        <v>1.9320982960443061</v>
      </c>
      <c r="BK85" s="386">
        <f t="shared" si="111"/>
        <v>0.60626480040463215</v>
      </c>
      <c r="BL85" s="386">
        <f t="shared" si="112"/>
        <v>0.17567688666552658</v>
      </c>
      <c r="BR85" s="18"/>
      <c r="BS85" s="19"/>
    </row>
    <row r="86" spans="1:71" x14ac:dyDescent="0.2">
      <c r="G86">
        <v>77</v>
      </c>
      <c r="H86" s="610">
        <f t="shared" si="59"/>
        <v>17.55</v>
      </c>
      <c r="I86" s="4" t="str">
        <f t="shared" si="60"/>
        <v>BUCK</v>
      </c>
      <c r="J86">
        <f t="shared" si="99"/>
        <v>1</v>
      </c>
      <c r="K86">
        <f t="shared" si="61"/>
        <v>12</v>
      </c>
      <c r="L86" s="4">
        <f t="shared" si="62"/>
        <v>9.1168091168091152</v>
      </c>
      <c r="M86" s="4">
        <f t="shared" si="63"/>
        <v>12</v>
      </c>
      <c r="N86" s="386">
        <f t="shared" si="64"/>
        <v>0.69079440845550633</v>
      </c>
      <c r="O86" s="386">
        <f t="shared" si="100"/>
        <v>0</v>
      </c>
      <c r="P86" s="4">
        <f t="shared" si="65"/>
        <v>3.1990542078040791</v>
      </c>
      <c r="Q86" s="386">
        <f t="shared" si="66"/>
        <v>12.035482083629738</v>
      </c>
      <c r="R86" s="386">
        <f t="shared" si="101"/>
        <v>0.50485575947831562</v>
      </c>
      <c r="S86" s="386">
        <f t="shared" si="67"/>
        <v>0.20467884617505605</v>
      </c>
      <c r="T86" s="386">
        <f t="shared" si="102"/>
        <v>0.70953460565337167</v>
      </c>
      <c r="U86" s="4">
        <f t="shared" si="68"/>
        <v>0.92348740401394513</v>
      </c>
      <c r="V86" s="386">
        <f t="shared" si="103"/>
        <v>1.7056579707448313E-3</v>
      </c>
      <c r="W86" s="386">
        <f t="shared" si="104"/>
        <v>1.7056579707448313E-3</v>
      </c>
      <c r="X86" s="386">
        <f t="shared" si="69"/>
        <v>5.5623916822654982</v>
      </c>
      <c r="Y86" s="386">
        <f t="shared" si="105"/>
        <v>6.1880402453872801E-2</v>
      </c>
      <c r="Z86" s="603">
        <f t="shared" si="106"/>
        <v>6.1880402453872801E-2</v>
      </c>
      <c r="AA86" s="386">
        <f t="shared" si="70"/>
        <v>10.003175711345719</v>
      </c>
      <c r="AB86" s="386">
        <f t="shared" si="71"/>
        <v>0.5703620885787245</v>
      </c>
      <c r="AC86" s="386">
        <f t="shared" si="72"/>
        <v>0.18018664772727275</v>
      </c>
      <c r="AD86">
        <f t="shared" si="73"/>
        <v>0</v>
      </c>
      <c r="AE86" s="386">
        <f t="shared" si="74"/>
        <v>0.84718971540630872</v>
      </c>
      <c r="AF86" s="386">
        <f t="shared" si="75"/>
        <v>6.6924812045545155</v>
      </c>
      <c r="AG86" s="386">
        <f t="shared" si="76"/>
        <v>0.2552990366378981</v>
      </c>
      <c r="AH86" s="386">
        <f t="shared" si="77"/>
        <v>0.24</v>
      </c>
      <c r="AI86" s="386">
        <f t="shared" si="78"/>
        <v>0.52194968709569478</v>
      </c>
      <c r="AJ86" s="386">
        <f t="shared" si="79"/>
        <v>0</v>
      </c>
      <c r="AK86" s="386">
        <f t="shared" si="80"/>
        <v>0</v>
      </c>
      <c r="AL86" s="386">
        <f t="shared" si="81"/>
        <v>0</v>
      </c>
      <c r="AM86">
        <f t="shared" si="82"/>
        <v>0</v>
      </c>
      <c r="AN86" s="386">
        <f t="shared" si="83"/>
        <v>0</v>
      </c>
      <c r="AO86" s="386">
        <f t="shared" si="84"/>
        <v>12.035482083629738</v>
      </c>
      <c r="AP86" s="386">
        <f t="shared" si="85"/>
        <v>0.27522037507220759</v>
      </c>
      <c r="AQ86" s="386">
        <f t="shared" si="86"/>
        <v>0</v>
      </c>
      <c r="AR86" s="386">
        <f t="shared" si="87"/>
        <v>0.29125207620282789</v>
      </c>
      <c r="AS86" s="386">
        <f t="shared" si="88"/>
        <v>0.27522037507220759</v>
      </c>
      <c r="AT86" s="386">
        <f t="shared" si="89"/>
        <v>0</v>
      </c>
      <c r="AU86" s="386">
        <f t="shared" si="90"/>
        <v>0.2753352</v>
      </c>
      <c r="AV86" s="386">
        <f t="shared" si="91"/>
        <v>0.17915721869326182</v>
      </c>
      <c r="AW86" s="386">
        <f t="shared" si="92"/>
        <v>0.59328000000000003</v>
      </c>
      <c r="AX86" s="386">
        <f t="shared" si="93"/>
        <v>3.6000000000000004E-2</v>
      </c>
      <c r="AY86" s="386">
        <f t="shared" si="94"/>
        <v>6.6000000000000003E-2</v>
      </c>
      <c r="AZ86" s="386">
        <f t="shared" si="95"/>
        <v>4.3499999999999997E-2</v>
      </c>
      <c r="BA86" s="386">
        <f t="shared" si="113"/>
        <v>0.10200000000000001</v>
      </c>
      <c r="BB86" s="386">
        <f t="shared" si="114"/>
        <v>3.5832845634760822</v>
      </c>
      <c r="BC86">
        <f t="shared" si="96"/>
        <v>144</v>
      </c>
      <c r="BD86" s="604">
        <f t="shared" si="107"/>
        <v>0.97572025467467571</v>
      </c>
      <c r="BE86" s="614">
        <f t="shared" si="97"/>
        <v>56.126245770315442</v>
      </c>
      <c r="BF86" s="614">
        <f t="shared" si="98"/>
        <v>26.09748435478474</v>
      </c>
      <c r="BG86" s="9"/>
      <c r="BH86" s="4">
        <f t="shared" si="108"/>
        <v>97.572025467467569</v>
      </c>
      <c r="BI86" s="386">
        <f t="shared" si="109"/>
        <v>0.70953460565337167</v>
      </c>
      <c r="BJ86" s="386">
        <f t="shared" si="110"/>
        <v>1.9357266787048313</v>
      </c>
      <c r="BK86" s="386">
        <f t="shared" si="111"/>
        <v>0.61281030309569484</v>
      </c>
      <c r="BL86" s="386">
        <f t="shared" si="112"/>
        <v>0.17915721869326182</v>
      </c>
      <c r="BR86" s="18"/>
      <c r="BS86" s="19"/>
    </row>
    <row r="87" spans="1:71" x14ac:dyDescent="0.2">
      <c r="G87">
        <v>78</v>
      </c>
      <c r="H87" s="610">
        <f t="shared" si="59"/>
        <v>17.700000000000003</v>
      </c>
      <c r="I87" s="4" t="str">
        <f t="shared" si="60"/>
        <v>BUCK</v>
      </c>
      <c r="J87">
        <f t="shared" si="99"/>
        <v>1</v>
      </c>
      <c r="K87">
        <f t="shared" si="61"/>
        <v>12</v>
      </c>
      <c r="L87" s="4">
        <f t="shared" si="62"/>
        <v>9.0395480225988685</v>
      </c>
      <c r="M87" s="4">
        <f t="shared" si="63"/>
        <v>12</v>
      </c>
      <c r="N87" s="386">
        <f t="shared" si="64"/>
        <v>0.68495605138607163</v>
      </c>
      <c r="O87" s="386">
        <f t="shared" si="100"/>
        <v>0</v>
      </c>
      <c r="P87" s="4">
        <f t="shared" si="65"/>
        <v>3.2594580984851773</v>
      </c>
      <c r="Q87" s="386">
        <f t="shared" si="66"/>
        <v>12.036832595190829</v>
      </c>
      <c r="R87" s="386">
        <f t="shared" si="101"/>
        <v>0.50497364377462062</v>
      </c>
      <c r="S87" s="386">
        <f t="shared" si="67"/>
        <v>0.21369295397351779</v>
      </c>
      <c r="T87" s="386">
        <f t="shared" si="102"/>
        <v>0.71866659774813835</v>
      </c>
      <c r="U87" s="4">
        <f t="shared" si="68"/>
        <v>0.94092450528636151</v>
      </c>
      <c r="V87" s="386">
        <f t="shared" si="103"/>
        <v>1.7706778492967683E-3</v>
      </c>
      <c r="W87" s="386">
        <f t="shared" si="104"/>
        <v>1.7706778492967683E-3</v>
      </c>
      <c r="X87" s="386">
        <f t="shared" si="69"/>
        <v>5.591510503008803</v>
      </c>
      <c r="Y87" s="386">
        <f t="shared" si="105"/>
        <v>6.2529979410515524E-2</v>
      </c>
      <c r="Z87" s="603">
        <f t="shared" si="106"/>
        <v>6.2529979410515524E-2</v>
      </c>
      <c r="AA87" s="386">
        <f t="shared" si="70"/>
        <v>9.9619320241386848</v>
      </c>
      <c r="AB87" s="386">
        <f t="shared" si="71"/>
        <v>0.56566851102529137</v>
      </c>
      <c r="AC87" s="386">
        <f t="shared" si="72"/>
        <v>0.18172670454545456</v>
      </c>
      <c r="AD87">
        <f t="shared" si="73"/>
        <v>0</v>
      </c>
      <c r="AE87" s="386">
        <f t="shared" si="74"/>
        <v>0.84273719435390715</v>
      </c>
      <c r="AF87" s="386">
        <f t="shared" si="75"/>
        <v>6.7561267950719008</v>
      </c>
      <c r="AG87" s="386">
        <f t="shared" si="76"/>
        <v>0.26017792084520458</v>
      </c>
      <c r="AH87" s="386">
        <f t="shared" si="77"/>
        <v>0.24</v>
      </c>
      <c r="AI87" s="386">
        <f t="shared" si="78"/>
        <v>0.52763364583338568</v>
      </c>
      <c r="AJ87" s="386">
        <f t="shared" si="79"/>
        <v>0</v>
      </c>
      <c r="AK87" s="386">
        <f t="shared" si="80"/>
        <v>0</v>
      </c>
      <c r="AL87" s="386">
        <f t="shared" si="81"/>
        <v>0</v>
      </c>
      <c r="AM87">
        <f t="shared" si="82"/>
        <v>0</v>
      </c>
      <c r="AN87" s="386">
        <f t="shared" si="83"/>
        <v>0</v>
      </c>
      <c r="AO87" s="386">
        <f t="shared" si="84"/>
        <v>12.036832595190829</v>
      </c>
      <c r="AP87" s="386">
        <f t="shared" si="85"/>
        <v>0.27528214395683193</v>
      </c>
      <c r="AQ87" s="386">
        <f t="shared" si="86"/>
        <v>0</v>
      </c>
      <c r="AR87" s="386">
        <f t="shared" si="87"/>
        <v>0.29132125170684137</v>
      </c>
      <c r="AS87" s="386">
        <f t="shared" si="88"/>
        <v>0.27528214395683193</v>
      </c>
      <c r="AT87" s="386">
        <f t="shared" si="89"/>
        <v>0</v>
      </c>
      <c r="AU87" s="386">
        <f t="shared" si="90"/>
        <v>0.27769770000000005</v>
      </c>
      <c r="AV87" s="386">
        <f t="shared" si="91"/>
        <v>0.18258099708435407</v>
      </c>
      <c r="AW87" s="386">
        <f t="shared" si="92"/>
        <v>0.59328000000000003</v>
      </c>
      <c r="AX87" s="386">
        <f t="shared" si="93"/>
        <v>3.6000000000000004E-2</v>
      </c>
      <c r="AY87" s="386">
        <f t="shared" si="94"/>
        <v>6.6000000000000003E-2</v>
      </c>
      <c r="AZ87" s="386">
        <f t="shared" si="95"/>
        <v>4.3499999999999997E-2</v>
      </c>
      <c r="BA87" s="386">
        <f t="shared" si="113"/>
        <v>0.10200000000000001</v>
      </c>
      <c r="BB87" s="386">
        <f t="shared" si="114"/>
        <v>3.6002180439864389</v>
      </c>
      <c r="BC87">
        <f t="shared" si="96"/>
        <v>144</v>
      </c>
      <c r="BD87" s="604">
        <f t="shared" si="107"/>
        <v>0.97560831486770883</v>
      </c>
      <c r="BE87" s="614">
        <f t="shared" si="97"/>
        <v>56.021744717695363</v>
      </c>
      <c r="BF87" s="614">
        <f t="shared" si="98"/>
        <v>26.381682291669286</v>
      </c>
      <c r="BG87" s="9"/>
      <c r="BH87" s="4">
        <f t="shared" si="108"/>
        <v>97.56083148677088</v>
      </c>
      <c r="BI87" s="386">
        <f t="shared" si="109"/>
        <v>0.71866659774813835</v>
      </c>
      <c r="BJ87" s="386">
        <f t="shared" si="110"/>
        <v>1.9393897918941343</v>
      </c>
      <c r="BK87" s="386">
        <f t="shared" si="111"/>
        <v>0.61927388683338569</v>
      </c>
      <c r="BL87" s="386">
        <f t="shared" si="112"/>
        <v>0.18258099708435407</v>
      </c>
      <c r="BR87" s="18"/>
      <c r="BS87" s="19"/>
    </row>
    <row r="88" spans="1:71" x14ac:dyDescent="0.2">
      <c r="G88">
        <v>79</v>
      </c>
      <c r="H88" s="610">
        <f t="shared" si="59"/>
        <v>17.850000000000001</v>
      </c>
      <c r="I88" s="4" t="str">
        <f t="shared" si="60"/>
        <v>BUCK</v>
      </c>
      <c r="J88">
        <f t="shared" si="99"/>
        <v>1</v>
      </c>
      <c r="K88">
        <f t="shared" si="61"/>
        <v>12</v>
      </c>
      <c r="L88" s="4">
        <f t="shared" si="62"/>
        <v>8.9635854341736696</v>
      </c>
      <c r="M88" s="4">
        <f t="shared" si="63"/>
        <v>12</v>
      </c>
      <c r="N88" s="386">
        <f t="shared" si="64"/>
        <v>0.67921555481059337</v>
      </c>
      <c r="O88" s="386">
        <f t="shared" si="100"/>
        <v>0</v>
      </c>
      <c r="P88" s="4">
        <f t="shared" si="65"/>
        <v>3.3188495203315256</v>
      </c>
      <c r="Q88" s="386">
        <f t="shared" si="66"/>
        <v>12.038184948109235</v>
      </c>
      <c r="R88" s="386">
        <f t="shared" si="101"/>
        <v>0.50509170419660043</v>
      </c>
      <c r="S88" s="386">
        <f t="shared" si="67"/>
        <v>0.22277093991419125</v>
      </c>
      <c r="T88" s="386">
        <f t="shared" si="102"/>
        <v>0.72786264411079171</v>
      </c>
      <c r="U88" s="4">
        <f t="shared" si="68"/>
        <v>0.95806933198163335</v>
      </c>
      <c r="V88" s="386">
        <f t="shared" si="103"/>
        <v>1.8357936897674663E-3</v>
      </c>
      <c r="W88" s="386">
        <f t="shared" si="104"/>
        <v>1.8357936897674663E-3</v>
      </c>
      <c r="X88" s="386">
        <f t="shared" si="69"/>
        <v>5.6191609721146296</v>
      </c>
      <c r="Y88" s="386">
        <f t="shared" si="105"/>
        <v>6.3149940061072454E-2</v>
      </c>
      <c r="Z88" s="603">
        <f t="shared" si="106"/>
        <v>6.3149940061072454E-2</v>
      </c>
      <c r="AA88" s="386">
        <f t="shared" si="70"/>
        <v>9.9212141246664984</v>
      </c>
      <c r="AB88" s="386">
        <f t="shared" si="71"/>
        <v>0.56105379133264766</v>
      </c>
      <c r="AC88" s="386">
        <f t="shared" si="72"/>
        <v>0.18326676136363637</v>
      </c>
      <c r="AD88">
        <f t="shared" si="73"/>
        <v>0</v>
      </c>
      <c r="AE88" s="386">
        <f t="shared" si="74"/>
        <v>0.83839780626643567</v>
      </c>
      <c r="AF88" s="386">
        <f t="shared" si="75"/>
        <v>6.8181674324851906</v>
      </c>
      <c r="AG88" s="386">
        <f t="shared" si="76"/>
        <v>0.26497822068318966</v>
      </c>
      <c r="AH88" s="386">
        <f t="shared" si="77"/>
        <v>0.24</v>
      </c>
      <c r="AI88" s="386">
        <f t="shared" si="78"/>
        <v>0.53323748466057752</v>
      </c>
      <c r="AJ88" s="386">
        <f t="shared" si="79"/>
        <v>0</v>
      </c>
      <c r="AK88" s="386">
        <f t="shared" si="80"/>
        <v>0</v>
      </c>
      <c r="AL88" s="386">
        <f t="shared" si="81"/>
        <v>0</v>
      </c>
      <c r="AM88">
        <f t="shared" si="82"/>
        <v>0</v>
      </c>
      <c r="AN88" s="386">
        <f t="shared" si="83"/>
        <v>0</v>
      </c>
      <c r="AO88" s="386">
        <f t="shared" si="84"/>
        <v>12.038184948109235</v>
      </c>
      <c r="AP88" s="386">
        <f t="shared" si="85"/>
        <v>0.27534400400527914</v>
      </c>
      <c r="AQ88" s="386">
        <f t="shared" si="86"/>
        <v>0</v>
      </c>
      <c r="AR88" s="386">
        <f t="shared" si="87"/>
        <v>0.29139053111877267</v>
      </c>
      <c r="AS88" s="386">
        <f t="shared" si="88"/>
        <v>0.27534400400527914</v>
      </c>
      <c r="AT88" s="386">
        <f t="shared" si="89"/>
        <v>0</v>
      </c>
      <c r="AU88" s="386">
        <f t="shared" si="90"/>
        <v>0.28006020000000004</v>
      </c>
      <c r="AV88" s="386">
        <f t="shared" si="91"/>
        <v>0.18594962854960678</v>
      </c>
      <c r="AW88" s="386">
        <f t="shared" si="92"/>
        <v>0.59328000000000003</v>
      </c>
      <c r="AX88" s="386">
        <f t="shared" si="93"/>
        <v>3.6000000000000004E-2</v>
      </c>
      <c r="AY88" s="386">
        <f t="shared" si="94"/>
        <v>6.6000000000000003E-2</v>
      </c>
      <c r="AZ88" s="386">
        <f t="shared" si="95"/>
        <v>4.3499999999999997E-2</v>
      </c>
      <c r="BA88" s="386">
        <f t="shared" si="113"/>
        <v>0.10200000000000001</v>
      </c>
      <c r="BB88" s="386">
        <f t="shared" si="114"/>
        <v>3.6171640284570246</v>
      </c>
      <c r="BC88">
        <f t="shared" si="96"/>
        <v>144</v>
      </c>
      <c r="BD88" s="604">
        <f t="shared" si="107"/>
        <v>0.97549631811271142</v>
      </c>
      <c r="BE88" s="614">
        <f t="shared" si="97"/>
        <v>55.92290031332179</v>
      </c>
      <c r="BF88" s="614">
        <f t="shared" si="98"/>
        <v>26.661874233028875</v>
      </c>
      <c r="BG88" s="9"/>
      <c r="BH88" s="4">
        <f t="shared" si="108"/>
        <v>97.549631811271141</v>
      </c>
      <c r="BI88" s="386">
        <f t="shared" si="109"/>
        <v>0.72786264411079171</v>
      </c>
      <c r="BJ88" s="386">
        <f t="shared" si="110"/>
        <v>1.943086022045786</v>
      </c>
      <c r="BK88" s="386">
        <f t="shared" si="111"/>
        <v>0.62565735066057759</v>
      </c>
      <c r="BL88" s="386">
        <f t="shared" si="112"/>
        <v>0.18594962854960678</v>
      </c>
      <c r="BR88" s="18"/>
      <c r="BS88" s="19"/>
    </row>
    <row r="89" spans="1:71" x14ac:dyDescent="0.2">
      <c r="G89">
        <v>80</v>
      </c>
      <c r="H89" s="610">
        <f t="shared" si="59"/>
        <v>18</v>
      </c>
      <c r="I89" s="4" t="str">
        <f t="shared" si="60"/>
        <v>BUCK</v>
      </c>
      <c r="J89">
        <f t="shared" si="99"/>
        <v>1</v>
      </c>
      <c r="K89">
        <f t="shared" si="61"/>
        <v>12</v>
      </c>
      <c r="L89" s="4">
        <f t="shared" si="62"/>
        <v>8.8888888888888893</v>
      </c>
      <c r="M89" s="4">
        <f t="shared" si="63"/>
        <v>12</v>
      </c>
      <c r="N89" s="386">
        <f t="shared" si="64"/>
        <v>0.67357047872340425</v>
      </c>
      <c r="O89" s="386">
        <f t="shared" si="100"/>
        <v>0</v>
      </c>
      <c r="P89" s="4">
        <f t="shared" si="65"/>
        <v>3.3772537177455866</v>
      </c>
      <c r="Q89" s="386">
        <f t="shared" si="66"/>
        <v>12.039538483243541</v>
      </c>
      <c r="R89" s="386">
        <f t="shared" si="101"/>
        <v>0.50520988325364558</v>
      </c>
      <c r="S89" s="386">
        <f t="shared" si="67"/>
        <v>0.2319070404628254</v>
      </c>
      <c r="T89" s="386">
        <f t="shared" si="102"/>
        <v>0.73711692371647097</v>
      </c>
      <c r="U89" s="4">
        <f t="shared" si="68"/>
        <v>0.97492917153103942</v>
      </c>
      <c r="V89" s="386">
        <f t="shared" si="103"/>
        <v>1.9009737790043977E-3</v>
      </c>
      <c r="W89" s="386">
        <f t="shared" si="104"/>
        <v>1.9009737790043977E-3</v>
      </c>
      <c r="X89" s="386">
        <f t="shared" si="69"/>
        <v>5.6454176357760284</v>
      </c>
      <c r="Y89" s="386">
        <f t="shared" si="105"/>
        <v>6.3741480564662001E-2</v>
      </c>
      <c r="Z89" s="603">
        <f t="shared" si="106"/>
        <v>6.3741480564662001E-2</v>
      </c>
      <c r="AA89" s="386">
        <f t="shared" si="70"/>
        <v>9.8810105174193854</v>
      </c>
      <c r="AB89" s="386">
        <f t="shared" si="71"/>
        <v>0.55651590241850935</v>
      </c>
      <c r="AC89" s="386">
        <f t="shared" si="72"/>
        <v>0.18480681818181816</v>
      </c>
      <c r="AD89">
        <f t="shared" si="73"/>
        <v>0</v>
      </c>
      <c r="AE89" s="386">
        <f t="shared" si="74"/>
        <v>0.83416830613146142</v>
      </c>
      <c r="AF89" s="386">
        <f t="shared" si="75"/>
        <v>6.8786712411736666</v>
      </c>
      <c r="AG89" s="386">
        <f t="shared" si="76"/>
        <v>0.26970187285165315</v>
      </c>
      <c r="AH89" s="386">
        <f t="shared" si="77"/>
        <v>0.24</v>
      </c>
      <c r="AI89" s="386">
        <f t="shared" si="78"/>
        <v>0.53876294807545899</v>
      </c>
      <c r="AJ89" s="386">
        <f t="shared" si="79"/>
        <v>0</v>
      </c>
      <c r="AK89" s="386">
        <f t="shared" si="80"/>
        <v>0</v>
      </c>
      <c r="AL89" s="386">
        <f t="shared" si="81"/>
        <v>0</v>
      </c>
      <c r="AM89">
        <f t="shared" si="82"/>
        <v>0</v>
      </c>
      <c r="AN89" s="386">
        <f t="shared" si="83"/>
        <v>0</v>
      </c>
      <c r="AO89" s="386">
        <f t="shared" si="84"/>
        <v>12.039538483243541</v>
      </c>
      <c r="AP89" s="386">
        <f t="shared" si="85"/>
        <v>0.27540592509005418</v>
      </c>
      <c r="AQ89" s="386">
        <f t="shared" si="86"/>
        <v>0</v>
      </c>
      <c r="AR89" s="386">
        <f t="shared" si="87"/>
        <v>0.29145988070446416</v>
      </c>
      <c r="AS89" s="386">
        <f t="shared" si="88"/>
        <v>0.27540592509005418</v>
      </c>
      <c r="AT89" s="386">
        <f t="shared" si="89"/>
        <v>0</v>
      </c>
      <c r="AU89" s="386">
        <f t="shared" si="90"/>
        <v>0.28242269999999997</v>
      </c>
      <c r="AV89" s="386">
        <f t="shared" si="91"/>
        <v>0.18926447217659867</v>
      </c>
      <c r="AW89" s="386">
        <f t="shared" si="92"/>
        <v>0.59328000000000003</v>
      </c>
      <c r="AX89" s="386">
        <f t="shared" si="93"/>
        <v>3.6000000000000004E-2</v>
      </c>
      <c r="AY89" s="386">
        <f t="shared" si="94"/>
        <v>6.6000000000000003E-2</v>
      </c>
      <c r="AZ89" s="386">
        <f t="shared" si="95"/>
        <v>4.3499999999999997E-2</v>
      </c>
      <c r="BA89" s="386">
        <f t="shared" si="113"/>
        <v>0.10200000000000001</v>
      </c>
      <c r="BB89" s="386">
        <f t="shared" si="114"/>
        <v>3.6341176851481207</v>
      </c>
      <c r="BC89">
        <f t="shared" si="96"/>
        <v>144</v>
      </c>
      <c r="BD89" s="604">
        <f t="shared" si="107"/>
        <v>0.97538429637993018</v>
      </c>
      <c r="BE89" s="614">
        <f t="shared" si="97"/>
        <v>55.829550306573076</v>
      </c>
      <c r="BF89" s="614">
        <f t="shared" si="98"/>
        <v>26.938147403772948</v>
      </c>
      <c r="BG89" s="9"/>
      <c r="BH89" s="4">
        <f t="shared" si="108"/>
        <v>97.538429637993019</v>
      </c>
      <c r="BI89" s="386">
        <f t="shared" si="109"/>
        <v>0.73711692371647097</v>
      </c>
      <c r="BJ89" s="386">
        <f t="shared" si="110"/>
        <v>1.9468138349113844</v>
      </c>
      <c r="BK89" s="386">
        <f t="shared" si="111"/>
        <v>0.63196243907545901</v>
      </c>
      <c r="BL89" s="386">
        <f t="shared" si="112"/>
        <v>0.18926447217659867</v>
      </c>
      <c r="BR89" s="18"/>
      <c r="BS89" s="19"/>
    </row>
    <row r="90" spans="1:71" x14ac:dyDescent="0.2">
      <c r="G90">
        <v>81</v>
      </c>
      <c r="H90" s="610">
        <f t="shared" si="59"/>
        <v>18.149999999999999</v>
      </c>
      <c r="I90" s="4" t="str">
        <f t="shared" si="60"/>
        <v>BUCK</v>
      </c>
      <c r="J90">
        <f t="shared" si="99"/>
        <v>1</v>
      </c>
      <c r="K90">
        <f t="shared" si="61"/>
        <v>12</v>
      </c>
      <c r="L90" s="4">
        <f t="shared" si="62"/>
        <v>8.8154269972451793</v>
      </c>
      <c r="M90" s="4">
        <f t="shared" si="63"/>
        <v>12</v>
      </c>
      <c r="N90" s="386">
        <f t="shared" si="64"/>
        <v>0.66801846356742511</v>
      </c>
      <c r="O90" s="386">
        <f t="shared" si="100"/>
        <v>0</v>
      </c>
      <c r="P90" s="4">
        <f t="shared" si="65"/>
        <v>3.4346951028053119</v>
      </c>
      <c r="Q90" s="386">
        <f t="shared" si="66"/>
        <v>12.040892583363698</v>
      </c>
      <c r="R90" s="386">
        <f t="shared" si="101"/>
        <v>0.50532812708519592</v>
      </c>
      <c r="S90" s="386">
        <f t="shared" si="67"/>
        <v>0.24109576800303142</v>
      </c>
      <c r="T90" s="386">
        <f t="shared" si="102"/>
        <v>0.74642389508822737</v>
      </c>
      <c r="U90" s="4">
        <f t="shared" si="68"/>
        <v>0.99151107109446812</v>
      </c>
      <c r="V90" s="386">
        <f t="shared" si="103"/>
        <v>1.9661884082057988E-3</v>
      </c>
      <c r="W90" s="386">
        <f t="shared" si="104"/>
        <v>1.9661884082057988E-3</v>
      </c>
      <c r="X90" s="386">
        <f t="shared" si="69"/>
        <v>5.6703501841295871</v>
      </c>
      <c r="Y90" s="386">
        <f t="shared" si="105"/>
        <v>6.4305742421316883E-2</v>
      </c>
      <c r="Z90" s="603">
        <f t="shared" si="106"/>
        <v>6.4305742421316883E-2</v>
      </c>
      <c r="AA90" s="386">
        <f t="shared" si="70"/>
        <v>9.8413100669309301</v>
      </c>
      <c r="AB90" s="386">
        <f t="shared" si="71"/>
        <v>0.55205288785081363</v>
      </c>
      <c r="AC90" s="386">
        <f t="shared" si="72"/>
        <v>0.18634687499999997</v>
      </c>
      <c r="AD90">
        <f t="shared" si="73"/>
        <v>0</v>
      </c>
      <c r="AE90" s="386">
        <f t="shared" si="74"/>
        <v>0.83004557409634883</v>
      </c>
      <c r="AF90" s="386">
        <f t="shared" si="75"/>
        <v>6.9377020958402946</v>
      </c>
      <c r="AG90" s="386">
        <f t="shared" si="76"/>
        <v>0.2743507491125729</v>
      </c>
      <c r="AH90" s="386">
        <f t="shared" si="77"/>
        <v>0.24</v>
      </c>
      <c r="AI90" s="386">
        <f t="shared" si="78"/>
        <v>0.54421172817257157</v>
      </c>
      <c r="AJ90" s="386">
        <f t="shared" si="79"/>
        <v>0</v>
      </c>
      <c r="AK90" s="386">
        <f t="shared" si="80"/>
        <v>0</v>
      </c>
      <c r="AL90" s="386">
        <f t="shared" si="81"/>
        <v>0</v>
      </c>
      <c r="AM90">
        <f t="shared" si="82"/>
        <v>0</v>
      </c>
      <c r="AN90" s="386">
        <f t="shared" si="83"/>
        <v>0</v>
      </c>
      <c r="AO90" s="386">
        <f t="shared" si="84"/>
        <v>12.040892583363698</v>
      </c>
      <c r="AP90" s="386">
        <f t="shared" si="85"/>
        <v>0.27546787898779551</v>
      </c>
      <c r="AQ90" s="386">
        <f t="shared" si="86"/>
        <v>0</v>
      </c>
      <c r="AR90" s="386">
        <f t="shared" si="87"/>
        <v>0.29152926885887914</v>
      </c>
      <c r="AS90" s="386">
        <f t="shared" si="88"/>
        <v>0.27546787898779551</v>
      </c>
      <c r="AT90" s="386">
        <f t="shared" si="89"/>
        <v>0</v>
      </c>
      <c r="AU90" s="386">
        <f t="shared" si="90"/>
        <v>0.28478519999999996</v>
      </c>
      <c r="AV90" s="386">
        <f t="shared" si="91"/>
        <v>0.19252684148250729</v>
      </c>
      <c r="AW90" s="386">
        <f t="shared" si="92"/>
        <v>0.59328000000000003</v>
      </c>
      <c r="AX90" s="386">
        <f t="shared" si="93"/>
        <v>3.6000000000000004E-2</v>
      </c>
      <c r="AY90" s="386">
        <f t="shared" si="94"/>
        <v>6.6000000000000003E-2</v>
      </c>
      <c r="AZ90" s="386">
        <f t="shared" si="95"/>
        <v>4.3499999999999997E-2</v>
      </c>
      <c r="BA90" s="386">
        <f t="shared" si="113"/>
        <v>0.10200000000000001</v>
      </c>
      <c r="BB90" s="386">
        <f t="shared" si="114"/>
        <v>3.6510744385280569</v>
      </c>
      <c r="BC90">
        <f t="shared" si="96"/>
        <v>144</v>
      </c>
      <c r="BD90" s="604">
        <f t="shared" si="107"/>
        <v>0.97527227991796206</v>
      </c>
      <c r="BE90" s="614">
        <f t="shared" si="97"/>
        <v>55.741538704817437</v>
      </c>
      <c r="BF90" s="614">
        <f t="shared" si="98"/>
        <v>27.210586408628579</v>
      </c>
      <c r="BG90" s="9"/>
      <c r="BH90" s="4">
        <f t="shared" si="108"/>
        <v>97.527227991796209</v>
      </c>
      <c r="BI90" s="386">
        <f t="shared" si="109"/>
        <v>0.74642389508822737</v>
      </c>
      <c r="BJ90" s="386">
        <f t="shared" si="110"/>
        <v>1.9505717711277994</v>
      </c>
      <c r="BK90" s="386">
        <f t="shared" si="111"/>
        <v>0.63819084417257155</v>
      </c>
      <c r="BL90" s="386">
        <f t="shared" si="112"/>
        <v>0.19252684148250729</v>
      </c>
      <c r="BR90" s="18"/>
      <c r="BS90" s="19"/>
    </row>
    <row r="91" spans="1:71" x14ac:dyDescent="0.2">
      <c r="G91">
        <v>82</v>
      </c>
      <c r="H91" s="610">
        <f t="shared" si="59"/>
        <v>18.299999999999997</v>
      </c>
      <c r="I91" s="4" t="str">
        <f t="shared" si="60"/>
        <v>BUCK</v>
      </c>
      <c r="J91">
        <f t="shared" si="99"/>
        <v>1</v>
      </c>
      <c r="K91">
        <f t="shared" si="61"/>
        <v>12</v>
      </c>
      <c r="L91" s="4">
        <f t="shared" si="62"/>
        <v>8.7431693989071047</v>
      </c>
      <c r="M91" s="4">
        <f t="shared" si="63"/>
        <v>12</v>
      </c>
      <c r="N91" s="386">
        <f t="shared" si="64"/>
        <v>0.66255722694571628</v>
      </c>
      <c r="O91" s="386">
        <f t="shared" si="100"/>
        <v>0</v>
      </c>
      <c r="P91" s="4">
        <f t="shared" si="65"/>
        <v>3.4911972892865588</v>
      </c>
      <c r="Q91" s="386">
        <f t="shared" si="66"/>
        <v>12.042246670620068</v>
      </c>
      <c r="R91" s="386">
        <f t="shared" si="101"/>
        <v>0.50544638524202634</v>
      </c>
      <c r="S91" s="386">
        <f t="shared" si="67"/>
        <v>0.25033189900450631</v>
      </c>
      <c r="T91" s="386">
        <f t="shared" si="102"/>
        <v>0.75577828424653259</v>
      </c>
      <c r="U91" s="4">
        <f t="shared" si="68"/>
        <v>1.0078218473818432</v>
      </c>
      <c r="V91" s="386">
        <f t="shared" si="103"/>
        <v>2.0314097521203027E-3</v>
      </c>
      <c r="W91" s="386">
        <f t="shared" si="104"/>
        <v>2.0314097521203027E-3</v>
      </c>
      <c r="X91" s="386">
        <f t="shared" si="69"/>
        <v>5.6940238562292826</v>
      </c>
      <c r="Y91" s="386">
        <f t="shared" si="105"/>
        <v>6.4843815350616382E-2</v>
      </c>
      <c r="Z91" s="603">
        <f t="shared" si="106"/>
        <v>6.4843815350616382E-2</v>
      </c>
      <c r="AA91" s="386">
        <f t="shared" si="70"/>
        <v>9.8021019830575504</v>
      </c>
      <c r="AB91" s="386">
        <f t="shared" si="71"/>
        <v>0.5476628587316863</v>
      </c>
      <c r="AC91" s="386">
        <f t="shared" si="72"/>
        <v>0.18788693181818178</v>
      </c>
      <c r="AD91">
        <f t="shared" si="73"/>
        <v>0</v>
      </c>
      <c r="AE91" s="386">
        <f t="shared" si="74"/>
        <v>0.82602660940938522</v>
      </c>
      <c r="AF91" s="386">
        <f t="shared" si="75"/>
        <v>6.9953199776564432</v>
      </c>
      <c r="AG91" s="386">
        <f t="shared" si="76"/>
        <v>0.27892665906185626</v>
      </c>
      <c r="AH91" s="386">
        <f t="shared" si="77"/>
        <v>0.24</v>
      </c>
      <c r="AI91" s="386">
        <f t="shared" si="78"/>
        <v>0.54958546667984842</v>
      </c>
      <c r="AJ91" s="386">
        <f t="shared" si="79"/>
        <v>0</v>
      </c>
      <c r="AK91" s="386">
        <f t="shared" si="80"/>
        <v>0</v>
      </c>
      <c r="AL91" s="386">
        <f t="shared" si="81"/>
        <v>0</v>
      </c>
      <c r="AM91">
        <f t="shared" si="82"/>
        <v>0</v>
      </c>
      <c r="AN91" s="386">
        <f t="shared" si="83"/>
        <v>0</v>
      </c>
      <c r="AO91" s="386">
        <f t="shared" si="84"/>
        <v>12.042246670620068</v>
      </c>
      <c r="AP91" s="386">
        <f t="shared" si="85"/>
        <v>0.27552983926451419</v>
      </c>
      <c r="AQ91" s="386">
        <f t="shared" si="86"/>
        <v>0</v>
      </c>
      <c r="AR91" s="386">
        <f t="shared" si="87"/>
        <v>0.29159866597783829</v>
      </c>
      <c r="AS91" s="386">
        <f t="shared" si="88"/>
        <v>0.27552983926451419</v>
      </c>
      <c r="AT91" s="386">
        <f t="shared" si="89"/>
        <v>0</v>
      </c>
      <c r="AU91" s="386">
        <f t="shared" si="90"/>
        <v>0.28714769999999995</v>
      </c>
      <c r="AV91" s="386">
        <f t="shared" si="91"/>
        <v>0.19573800635919736</v>
      </c>
      <c r="AW91" s="386">
        <f t="shared" si="92"/>
        <v>0.59328000000000003</v>
      </c>
      <c r="AX91" s="386">
        <f t="shared" si="93"/>
        <v>3.6000000000000004E-2</v>
      </c>
      <c r="AY91" s="386">
        <f t="shared" si="94"/>
        <v>6.6000000000000003E-2</v>
      </c>
      <c r="AZ91" s="386">
        <f t="shared" si="95"/>
        <v>4.3499999999999997E-2</v>
      </c>
      <c r="BA91" s="386">
        <f t="shared" si="113"/>
        <v>0.10200000000000001</v>
      </c>
      <c r="BB91" s="386">
        <f t="shared" si="114"/>
        <v>3.6680299577755386</v>
      </c>
      <c r="BC91">
        <f t="shared" si="96"/>
        <v>144</v>
      </c>
      <c r="BD91" s="604">
        <f t="shared" si="107"/>
        <v>0.97516029733162712</v>
      </c>
      <c r="BE91" s="614">
        <f t="shared" si="97"/>
        <v>55.658715470469254</v>
      </c>
      <c r="BF91" s="614">
        <f t="shared" si="98"/>
        <v>27.47927333399242</v>
      </c>
      <c r="BG91" s="9"/>
      <c r="BH91" s="4">
        <f t="shared" si="108"/>
        <v>97.516029733162711</v>
      </c>
      <c r="BI91" s="386">
        <f t="shared" si="109"/>
        <v>0.75577828424653259</v>
      </c>
      <c r="BJ91" s="386">
        <f t="shared" si="110"/>
        <v>1.9543584420670719</v>
      </c>
      <c r="BK91" s="386">
        <f t="shared" si="111"/>
        <v>0.64434420767984846</v>
      </c>
      <c r="BL91" s="386">
        <f t="shared" si="112"/>
        <v>0.19573800635919736</v>
      </c>
      <c r="BR91" s="18"/>
      <c r="BS91" s="19"/>
    </row>
    <row r="92" spans="1:71" x14ac:dyDescent="0.2">
      <c r="G92">
        <v>83</v>
      </c>
      <c r="H92" s="610">
        <f t="shared" si="59"/>
        <v>18.45</v>
      </c>
      <c r="I92" s="4" t="str">
        <f t="shared" si="60"/>
        <v>BUCK</v>
      </c>
      <c r="J92">
        <f t="shared" si="99"/>
        <v>1</v>
      </c>
      <c r="K92">
        <f t="shared" si="61"/>
        <v>12</v>
      </c>
      <c r="L92" s="4">
        <f t="shared" si="62"/>
        <v>8.6720867208672079</v>
      </c>
      <c r="M92" s="4">
        <f t="shared" si="63"/>
        <v>12</v>
      </c>
      <c r="N92" s="386">
        <f t="shared" si="64"/>
        <v>0.65718456049302632</v>
      </c>
      <c r="O92" s="386">
        <f t="shared" si="100"/>
        <v>0</v>
      </c>
      <c r="P92" s="4">
        <f t="shared" si="65"/>
        <v>3.5467831250301929</v>
      </c>
      <c r="Q92" s="386">
        <f t="shared" si="66"/>
        <v>12.043600204174826</v>
      </c>
      <c r="R92" s="386">
        <f t="shared" si="101"/>
        <v>0.50556461048157564</v>
      </c>
      <c r="S92" s="386">
        <f t="shared" si="67"/>
        <v>0.25961046257831888</v>
      </c>
      <c r="T92" s="386">
        <f t="shared" si="102"/>
        <v>0.76517507305989452</v>
      </c>
      <c r="U92" s="4">
        <f t="shared" si="68"/>
        <v>1.0238680959967021</v>
      </c>
      <c r="V92" s="386">
        <f t="shared" si="103"/>
        <v>2.0966117559998243E-3</v>
      </c>
      <c r="W92" s="386">
        <f t="shared" si="104"/>
        <v>2.0966117559998243E-3</v>
      </c>
      <c r="X92" s="386">
        <f t="shared" si="69"/>
        <v>5.7164998030722254</v>
      </c>
      <c r="Y92" s="386">
        <f t="shared" si="105"/>
        <v>6.5356739997049593E-2</v>
      </c>
      <c r="Z92" s="603">
        <f t="shared" si="106"/>
        <v>6.5356739997049593E-2</v>
      </c>
      <c r="AA92" s="386">
        <f t="shared" si="70"/>
        <v>9.7633758069988996</v>
      </c>
      <c r="AB92" s="386">
        <f t="shared" si="71"/>
        <v>0.54334399074754114</v>
      </c>
      <c r="AC92" s="386">
        <f t="shared" si="72"/>
        <v>0.18942698863636359</v>
      </c>
      <c r="AD92">
        <f t="shared" si="73"/>
        <v>0</v>
      </c>
      <c r="AE92" s="386">
        <f t="shared" si="74"/>
        <v>0.82210852471292351</v>
      </c>
      <c r="AF92" s="386">
        <f t="shared" si="75"/>
        <v>7.0515812928242196</v>
      </c>
      <c r="AG92" s="386">
        <f t="shared" si="76"/>
        <v>0.28343135275705844</v>
      </c>
      <c r="AH92" s="386">
        <f t="shared" si="77"/>
        <v>0.24</v>
      </c>
      <c r="AI92" s="386">
        <f t="shared" si="78"/>
        <v>0.55488575689768549</v>
      </c>
      <c r="AJ92" s="386">
        <f t="shared" si="79"/>
        <v>0</v>
      </c>
      <c r="AK92" s="386">
        <f t="shared" si="80"/>
        <v>0</v>
      </c>
      <c r="AL92" s="386">
        <f t="shared" si="81"/>
        <v>0</v>
      </c>
      <c r="AM92">
        <f t="shared" si="82"/>
        <v>0</v>
      </c>
      <c r="AN92" s="386">
        <f t="shared" si="83"/>
        <v>0</v>
      </c>
      <c r="AO92" s="386">
        <f t="shared" si="84"/>
        <v>12.043600204174826</v>
      </c>
      <c r="AP92" s="386">
        <f t="shared" si="85"/>
        <v>0.27559178116819988</v>
      </c>
      <c r="AQ92" s="386">
        <f t="shared" si="86"/>
        <v>0</v>
      </c>
      <c r="AR92" s="386">
        <f t="shared" si="87"/>
        <v>0.29166804433799032</v>
      </c>
      <c r="AS92" s="386">
        <f t="shared" si="88"/>
        <v>0.27559178116819988</v>
      </c>
      <c r="AT92" s="386">
        <f t="shared" si="89"/>
        <v>0</v>
      </c>
      <c r="AU92" s="386">
        <f t="shared" si="90"/>
        <v>0.2895102</v>
      </c>
      <c r="AV92" s="386">
        <f t="shared" si="91"/>
        <v>0.19889919491723398</v>
      </c>
      <c r="AW92" s="386">
        <f t="shared" si="92"/>
        <v>0.59328000000000003</v>
      </c>
      <c r="AX92" s="386">
        <f t="shared" si="93"/>
        <v>3.6000000000000004E-2</v>
      </c>
      <c r="AY92" s="386">
        <f t="shared" si="94"/>
        <v>6.6000000000000003E-2</v>
      </c>
      <c r="AZ92" s="386">
        <f t="shared" si="95"/>
        <v>4.3499999999999997E-2</v>
      </c>
      <c r="BA92" s="386">
        <f t="shared" si="113"/>
        <v>0.10200000000000001</v>
      </c>
      <c r="BB92" s="386">
        <f t="shared" si="114"/>
        <v>3.684980145678777</v>
      </c>
      <c r="BC92">
        <f t="shared" si="96"/>
        <v>144</v>
      </c>
      <c r="BD92" s="604">
        <f t="shared" si="107"/>
        <v>0.97504837565713287</v>
      </c>
      <c r="BE92" s="614">
        <f t="shared" si="97"/>
        <v>55.58093623564617</v>
      </c>
      <c r="BF92" s="614">
        <f t="shared" si="98"/>
        <v>27.744287844884276</v>
      </c>
      <c r="BG92" s="9"/>
      <c r="BH92" s="4">
        <f t="shared" si="108"/>
        <v>97.504837565713288</v>
      </c>
      <c r="BI92" s="386">
        <f t="shared" si="109"/>
        <v>0.76517507305989452</v>
      </c>
      <c r="BJ92" s="386">
        <f t="shared" si="110"/>
        <v>1.9581725259485991</v>
      </c>
      <c r="BK92" s="386">
        <f t="shared" si="111"/>
        <v>0.65042412289768547</v>
      </c>
      <c r="BL92" s="386">
        <f t="shared" si="112"/>
        <v>0.19889919491723398</v>
      </c>
      <c r="BR92" s="18"/>
      <c r="BS92" s="19"/>
    </row>
    <row r="93" spans="1:71" x14ac:dyDescent="0.2">
      <c r="G93">
        <v>84</v>
      </c>
      <c r="H93" s="610">
        <f t="shared" si="59"/>
        <v>18.600000000000001</v>
      </c>
      <c r="I93" s="4" t="str">
        <f t="shared" si="60"/>
        <v>BUCK</v>
      </c>
      <c r="J93">
        <f t="shared" si="99"/>
        <v>1</v>
      </c>
      <c r="K93">
        <f t="shared" si="61"/>
        <v>12</v>
      </c>
      <c r="L93" s="4">
        <f t="shared" si="62"/>
        <v>8.6021505376344081</v>
      </c>
      <c r="M93" s="4">
        <f t="shared" si="63"/>
        <v>12</v>
      </c>
      <c r="N93" s="386">
        <f t="shared" si="64"/>
        <v>0.65189832689832683</v>
      </c>
      <c r="O93" s="386">
        <f t="shared" si="100"/>
        <v>0</v>
      </c>
      <c r="P93" s="4">
        <f t="shared" si="65"/>
        <v>3.601474722747064</v>
      </c>
      <c r="Q93" s="386">
        <f t="shared" si="66"/>
        <v>12.044952677984343</v>
      </c>
      <c r="R93" s="386">
        <f t="shared" si="101"/>
        <v>0.50568275857632894</v>
      </c>
      <c r="S93" s="386">
        <f t="shared" si="67"/>
        <v>0.2689267294274777</v>
      </c>
      <c r="T93" s="386">
        <f t="shared" si="102"/>
        <v>0.77460948800380658</v>
      </c>
      <c r="U93" s="4">
        <f t="shared" si="68"/>
        <v>1.0396562003288252</v>
      </c>
      <c r="V93" s="386">
        <f t="shared" si="103"/>
        <v>2.1617700297643407E-3</v>
      </c>
      <c r="W93" s="386">
        <f t="shared" si="104"/>
        <v>2.1617700297643407E-3</v>
      </c>
      <c r="X93" s="386">
        <f t="shared" si="69"/>
        <v>5.7378354138944161</v>
      </c>
      <c r="Y93" s="386">
        <f t="shared" si="105"/>
        <v>6.5845510473881819E-2</v>
      </c>
      <c r="Z93" s="603">
        <f t="shared" si="106"/>
        <v>6.5845510473881819E-2</v>
      </c>
      <c r="AA93" s="386">
        <f t="shared" si="70"/>
        <v>9.7251213980150517</v>
      </c>
      <c r="AB93" s="386">
        <f t="shared" si="71"/>
        <v>0.5390945213749424</v>
      </c>
      <c r="AC93" s="386">
        <f t="shared" si="72"/>
        <v>0.19096704545454546</v>
      </c>
      <c r="AD93">
        <f t="shared" si="73"/>
        <v>0</v>
      </c>
      <c r="AE93" s="386">
        <f t="shared" si="74"/>
        <v>0.81828854066473944</v>
      </c>
      <c r="AF93" s="386">
        <f t="shared" si="75"/>
        <v>7.1065391583211559</v>
      </c>
      <c r="AG93" s="386">
        <f t="shared" si="76"/>
        <v>0.2878665232098862</v>
      </c>
      <c r="AH93" s="386">
        <f t="shared" si="77"/>
        <v>0.24</v>
      </c>
      <c r="AI93" s="386">
        <f t="shared" si="78"/>
        <v>0.56011414554566774</v>
      </c>
      <c r="AJ93" s="386">
        <f t="shared" si="79"/>
        <v>0</v>
      </c>
      <c r="AK93" s="386">
        <f t="shared" si="80"/>
        <v>0</v>
      </c>
      <c r="AL93" s="386">
        <f t="shared" si="81"/>
        <v>0</v>
      </c>
      <c r="AM93">
        <f t="shared" si="82"/>
        <v>0</v>
      </c>
      <c r="AN93" s="386">
        <f t="shared" si="83"/>
        <v>0</v>
      </c>
      <c r="AO93" s="386">
        <f t="shared" si="84"/>
        <v>12.044952677984343</v>
      </c>
      <c r="AP93" s="386">
        <f t="shared" si="85"/>
        <v>0.27565368152827618</v>
      </c>
      <c r="AQ93" s="386">
        <f t="shared" si="86"/>
        <v>0</v>
      </c>
      <c r="AR93" s="386">
        <f t="shared" si="87"/>
        <v>0.29173737798443961</v>
      </c>
      <c r="AS93" s="386">
        <f t="shared" si="88"/>
        <v>0.27565368152827618</v>
      </c>
      <c r="AT93" s="386">
        <f t="shared" si="89"/>
        <v>0</v>
      </c>
      <c r="AU93" s="386">
        <f t="shared" si="90"/>
        <v>0.29187270000000004</v>
      </c>
      <c r="AV93" s="386">
        <f t="shared" si="91"/>
        <v>0.20201159523500786</v>
      </c>
      <c r="AW93" s="386">
        <f t="shared" si="92"/>
        <v>0.59328000000000003</v>
      </c>
      <c r="AX93" s="386">
        <f t="shared" si="93"/>
        <v>3.6000000000000004E-2</v>
      </c>
      <c r="AY93" s="386">
        <f t="shared" si="94"/>
        <v>6.6000000000000003E-2</v>
      </c>
      <c r="AZ93" s="386">
        <f t="shared" si="95"/>
        <v>4.3499999999999997E-2</v>
      </c>
      <c r="BA93" s="386">
        <f t="shared" si="113"/>
        <v>0.10200000000000001</v>
      </c>
      <c r="BB93" s="386">
        <f t="shared" si="114"/>
        <v>3.701921127937307</v>
      </c>
      <c r="BC93">
        <f t="shared" si="96"/>
        <v>144</v>
      </c>
      <c r="BD93" s="604">
        <f t="shared" si="107"/>
        <v>0.97493654043449607</v>
      </c>
      <c r="BE93" s="614">
        <f t="shared" si="97"/>
        <v>55.508062033236968</v>
      </c>
      <c r="BF93" s="614">
        <f t="shared" si="98"/>
        <v>28.005707277283388</v>
      </c>
      <c r="BG93" s="9"/>
      <c r="BH93" s="4">
        <f t="shared" si="108"/>
        <v>97.49365404344961</v>
      </c>
      <c r="BI93" s="386">
        <f t="shared" si="109"/>
        <v>0.77460948800380658</v>
      </c>
      <c r="BJ93" s="386">
        <f t="shared" si="110"/>
        <v>1.9620127641948468</v>
      </c>
      <c r="BK93" s="386">
        <f t="shared" si="111"/>
        <v>0.65643213654566779</v>
      </c>
      <c r="BL93" s="386">
        <f t="shared" si="112"/>
        <v>0.20201159523500786</v>
      </c>
      <c r="BR93" s="18"/>
      <c r="BS93" s="19"/>
    </row>
    <row r="94" spans="1:71" x14ac:dyDescent="0.2">
      <c r="G94">
        <v>85</v>
      </c>
      <c r="H94" s="610">
        <f t="shared" si="59"/>
        <v>18.75</v>
      </c>
      <c r="I94" s="4" t="str">
        <f t="shared" si="60"/>
        <v>BUCK</v>
      </c>
      <c r="J94">
        <f t="shared" si="99"/>
        <v>1</v>
      </c>
      <c r="K94">
        <f t="shared" si="61"/>
        <v>12</v>
      </c>
      <c r="L94" s="4">
        <f t="shared" si="62"/>
        <v>8.5333333333333332</v>
      </c>
      <c r="M94" s="4">
        <f t="shared" si="63"/>
        <v>12</v>
      </c>
      <c r="N94" s="386">
        <f t="shared" si="64"/>
        <v>0.64669645706990109</v>
      </c>
      <c r="O94" s="386">
        <f t="shared" si="100"/>
        <v>0</v>
      </c>
      <c r="P94" s="4">
        <f t="shared" si="65"/>
        <v>3.6552934893481202</v>
      </c>
      <c r="Q94" s="386">
        <f t="shared" si="66"/>
        <v>12.046303618722185</v>
      </c>
      <c r="R94" s="386">
        <f t="shared" si="101"/>
        <v>0.50580078813435736</v>
      </c>
      <c r="S94" s="386">
        <f t="shared" si="67"/>
        <v>0.2782762011964649</v>
      </c>
      <c r="T94" s="386">
        <f t="shared" si="102"/>
        <v>0.78407698933082226</v>
      </c>
      <c r="U94" s="4">
        <f t="shared" si="68"/>
        <v>1.0551923400211118</v>
      </c>
      <c r="V94" s="386">
        <f t="shared" si="103"/>
        <v>2.2268617488784594E-3</v>
      </c>
      <c r="W94" s="386">
        <f t="shared" si="104"/>
        <v>2.2268617488784594E-3</v>
      </c>
      <c r="X94" s="386">
        <f t="shared" si="69"/>
        <v>5.7580846101983409</v>
      </c>
      <c r="Y94" s="386">
        <f t="shared" si="105"/>
        <v>6.6311076756405962E-2</v>
      </c>
      <c r="Z94" s="603">
        <f t="shared" si="106"/>
        <v>6.6311076756405962E-2</v>
      </c>
      <c r="AA94" s="386">
        <f t="shared" si="70"/>
        <v>9.6873289207994713</v>
      </c>
      <c r="AB94" s="386">
        <f t="shared" si="71"/>
        <v>0.53491274723261983</v>
      </c>
      <c r="AC94" s="386">
        <f t="shared" si="72"/>
        <v>0.19250710227272724</v>
      </c>
      <c r="AD94">
        <f t="shared" si="73"/>
        <v>0</v>
      </c>
      <c r="AE94" s="386">
        <f t="shared" si="74"/>
        <v>0.81456398086566562</v>
      </c>
      <c r="AF94" s="386">
        <f t="shared" si="75"/>
        <v>7.160243658890483</v>
      </c>
      <c r="AG94" s="386">
        <f t="shared" si="76"/>
        <v>0.29223380875168381</v>
      </c>
      <c r="AH94" s="386">
        <f t="shared" si="77"/>
        <v>0.24</v>
      </c>
      <c r="AI94" s="386">
        <f t="shared" si="78"/>
        <v>0.56527213452220759</v>
      </c>
      <c r="AJ94" s="386">
        <f t="shared" si="79"/>
        <v>0</v>
      </c>
      <c r="AK94" s="386">
        <f t="shared" si="80"/>
        <v>0</v>
      </c>
      <c r="AL94" s="386">
        <f t="shared" si="81"/>
        <v>0</v>
      </c>
      <c r="AM94">
        <f t="shared" si="82"/>
        <v>0</v>
      </c>
      <c r="AN94" s="386">
        <f t="shared" si="83"/>
        <v>0</v>
      </c>
      <c r="AO94" s="386">
        <f t="shared" si="84"/>
        <v>12.046303618722185</v>
      </c>
      <c r="AP94" s="386">
        <f t="shared" si="85"/>
        <v>0.27571551866143446</v>
      </c>
      <c r="AQ94" s="386">
        <f t="shared" si="86"/>
        <v>0</v>
      </c>
      <c r="AR94" s="386">
        <f t="shared" si="87"/>
        <v>0.29180664262550293</v>
      </c>
      <c r="AS94" s="386">
        <f t="shared" si="88"/>
        <v>0.27571551866143446</v>
      </c>
      <c r="AT94" s="386">
        <f t="shared" si="89"/>
        <v>0</v>
      </c>
      <c r="AU94" s="386">
        <f t="shared" si="90"/>
        <v>0.29423519999999997</v>
      </c>
      <c r="AV94" s="386">
        <f t="shared" si="91"/>
        <v>0.20507635701872548</v>
      </c>
      <c r="AW94" s="386">
        <f t="shared" si="92"/>
        <v>0.59328000000000003</v>
      </c>
      <c r="AX94" s="386">
        <f t="shared" si="93"/>
        <v>3.6000000000000004E-2</v>
      </c>
      <c r="AY94" s="386">
        <f t="shared" si="94"/>
        <v>6.6000000000000003E-2</v>
      </c>
      <c r="AZ94" s="386">
        <f t="shared" si="95"/>
        <v>4.3499999999999997E-2</v>
      </c>
      <c r="BA94" s="386">
        <f t="shared" si="113"/>
        <v>0.10200000000000001</v>
      </c>
      <c r="BB94" s="386">
        <f t="shared" si="114"/>
        <v>3.7188492428682083</v>
      </c>
      <c r="BC94">
        <f t="shared" si="96"/>
        <v>144</v>
      </c>
      <c r="BD94" s="604">
        <f t="shared" si="107"/>
        <v>0.97482481577720692</v>
      </c>
      <c r="BE94" s="614">
        <f t="shared" si="97"/>
        <v>55.439959043283281</v>
      </c>
      <c r="BF94" s="614">
        <f t="shared" si="98"/>
        <v>28.263606726110378</v>
      </c>
      <c r="BG94" s="9"/>
      <c r="BH94" s="4">
        <f t="shared" si="108"/>
        <v>97.482481577720691</v>
      </c>
      <c r="BI94" s="386">
        <f t="shared" si="109"/>
        <v>0.78407698933082226</v>
      </c>
      <c r="BJ94" s="386">
        <f t="shared" si="110"/>
        <v>1.9658779580133758</v>
      </c>
      <c r="BK94" s="386">
        <f t="shared" si="111"/>
        <v>0.66236975052220759</v>
      </c>
      <c r="BL94" s="386">
        <f t="shared" si="112"/>
        <v>0.20507635701872548</v>
      </c>
      <c r="BR94" s="18"/>
      <c r="BS94" s="19"/>
    </row>
    <row r="95" spans="1:71" x14ac:dyDescent="0.2">
      <c r="G95">
        <v>86</v>
      </c>
      <c r="H95" s="610">
        <f t="shared" si="59"/>
        <v>18.899999999999999</v>
      </c>
      <c r="I95" s="4" t="str">
        <f t="shared" si="60"/>
        <v>BUCK</v>
      </c>
      <c r="J95">
        <f t="shared" si="99"/>
        <v>1</v>
      </c>
      <c r="K95">
        <f t="shared" si="61"/>
        <v>12</v>
      </c>
      <c r="L95" s="4">
        <f t="shared" si="62"/>
        <v>8.4656084656084669</v>
      </c>
      <c r="M95" s="4">
        <f t="shared" si="63"/>
        <v>12</v>
      </c>
      <c r="N95" s="386">
        <f t="shared" si="64"/>
        <v>0.64157694743508553</v>
      </c>
      <c r="O95" s="386">
        <f t="shared" si="100"/>
        <v>0</v>
      </c>
      <c r="P95" s="4">
        <f t="shared" si="65"/>
        <v>3.7082601538813953</v>
      </c>
      <c r="Q95" s="386">
        <f t="shared" si="66"/>
        <v>12.047652583833031</v>
      </c>
      <c r="R95" s="386">
        <f t="shared" si="101"/>
        <v>0.50591866043117106</v>
      </c>
      <c r="S95" s="386">
        <f t="shared" si="67"/>
        <v>0.28765460021975564</v>
      </c>
      <c r="T95" s="386">
        <f t="shared" si="102"/>
        <v>0.7935732606509267</v>
      </c>
      <c r="U95" s="4">
        <f t="shared" si="68"/>
        <v>1.0704824990342934</v>
      </c>
      <c r="V95" s="386">
        <f t="shared" si="103"/>
        <v>2.2918655614774116E-3</v>
      </c>
      <c r="W95" s="386">
        <f t="shared" si="104"/>
        <v>2.2918655614774116E-3</v>
      </c>
      <c r="X95" s="386">
        <f t="shared" si="69"/>
        <v>5.777298111342426</v>
      </c>
      <c r="Y95" s="386">
        <f t="shared" si="105"/>
        <v>6.6754346934641523E-2</v>
      </c>
      <c r="Z95" s="603">
        <f t="shared" si="106"/>
        <v>6.6754346934641523E-2</v>
      </c>
      <c r="AA95" s="386">
        <f t="shared" si="70"/>
        <v>9.6499888334694166</v>
      </c>
      <c r="AB95" s="386">
        <f t="shared" si="71"/>
        <v>0.5307970215706812</v>
      </c>
      <c r="AC95" s="386">
        <f t="shared" si="72"/>
        <v>0.19404715909090905</v>
      </c>
      <c r="AD95">
        <f t="shared" si="73"/>
        <v>0</v>
      </c>
      <c r="AE95" s="386">
        <f t="shared" si="74"/>
        <v>0.81093226707319244</v>
      </c>
      <c r="AF95" s="386">
        <f t="shared" si="75"/>
        <v>7.2127420787557801</v>
      </c>
      <c r="AG95" s="386">
        <f t="shared" si="76"/>
        <v>0.29653479527952925</v>
      </c>
      <c r="AH95" s="386">
        <f t="shared" si="77"/>
        <v>0.24</v>
      </c>
      <c r="AI95" s="386">
        <f t="shared" si="78"/>
        <v>0.57036118258199775</v>
      </c>
      <c r="AJ95" s="386">
        <f t="shared" si="79"/>
        <v>0</v>
      </c>
      <c r="AK95" s="386">
        <f t="shared" si="80"/>
        <v>0</v>
      </c>
      <c r="AL95" s="386">
        <f t="shared" si="81"/>
        <v>0</v>
      </c>
      <c r="AM95">
        <f t="shared" si="82"/>
        <v>0</v>
      </c>
      <c r="AN95" s="386">
        <f t="shared" si="83"/>
        <v>0</v>
      </c>
      <c r="AO95" s="386">
        <f t="shared" si="84"/>
        <v>12.047652583833031</v>
      </c>
      <c r="AP95" s="386">
        <f t="shared" si="85"/>
        <v>0.27577727228340354</v>
      </c>
      <c r="AQ95" s="386">
        <f t="shared" si="86"/>
        <v>0</v>
      </c>
      <c r="AR95" s="386">
        <f t="shared" si="87"/>
        <v>0.29187581553410119</v>
      </c>
      <c r="AS95" s="386">
        <f t="shared" si="88"/>
        <v>0.27577727228340354</v>
      </c>
      <c r="AT95" s="386">
        <f t="shared" si="89"/>
        <v>0</v>
      </c>
      <c r="AU95" s="386">
        <f t="shared" si="90"/>
        <v>0.29659769999999996</v>
      </c>
      <c r="AV95" s="386">
        <f t="shared" si="91"/>
        <v>0.208094593178617</v>
      </c>
      <c r="AW95" s="386">
        <f t="shared" si="92"/>
        <v>0.59328000000000003</v>
      </c>
      <c r="AX95" s="386">
        <f t="shared" si="93"/>
        <v>3.6000000000000004E-2</v>
      </c>
      <c r="AY95" s="386">
        <f t="shared" si="94"/>
        <v>6.6000000000000003E-2</v>
      </c>
      <c r="AZ95" s="386">
        <f t="shared" si="95"/>
        <v>4.3499999999999997E-2</v>
      </c>
      <c r="BA95" s="386">
        <f t="shared" si="113"/>
        <v>0.10200000000000001</v>
      </c>
      <c r="BB95" s="386">
        <f t="shared" si="114"/>
        <v>3.7357610315149539</v>
      </c>
      <c r="BC95">
        <f t="shared" si="96"/>
        <v>144</v>
      </c>
      <c r="BD95" s="604">
        <f t="shared" si="107"/>
        <v>0.97471322443915231</v>
      </c>
      <c r="BE95" s="614">
        <f t="shared" si="97"/>
        <v>55.37649835365962</v>
      </c>
      <c r="BF95" s="614">
        <f t="shared" si="98"/>
        <v>28.518059129099889</v>
      </c>
      <c r="BG95" s="9"/>
      <c r="BH95" s="4">
        <f t="shared" si="108"/>
        <v>97.471322443915227</v>
      </c>
      <c r="BI95" s="386">
        <f t="shared" si="109"/>
        <v>0.7935732606509267</v>
      </c>
      <c r="BJ95" s="386">
        <f t="shared" si="110"/>
        <v>1.9697669651892915</v>
      </c>
      <c r="BK95" s="386">
        <f t="shared" si="111"/>
        <v>0.6682384235819977</v>
      </c>
      <c r="BL95" s="386">
        <f t="shared" si="112"/>
        <v>0.208094593178617</v>
      </c>
      <c r="BR95" s="18"/>
      <c r="BS95" s="19"/>
    </row>
    <row r="96" spans="1:71" x14ac:dyDescent="0.2">
      <c r="G96">
        <v>87</v>
      </c>
      <c r="H96" s="610">
        <f t="shared" si="59"/>
        <v>19.05</v>
      </c>
      <c r="I96" s="4" t="str">
        <f t="shared" si="60"/>
        <v>BUCK</v>
      </c>
      <c r="J96">
        <f t="shared" si="99"/>
        <v>1</v>
      </c>
      <c r="K96">
        <f t="shared" si="61"/>
        <v>12</v>
      </c>
      <c r="L96" s="4">
        <f t="shared" si="62"/>
        <v>8.3989501312335957</v>
      </c>
      <c r="M96" s="4">
        <f t="shared" si="63"/>
        <v>12</v>
      </c>
      <c r="N96" s="386">
        <f t="shared" si="64"/>
        <v>0.63653785736726354</v>
      </c>
      <c r="O96" s="386">
        <f t="shared" si="100"/>
        <v>0</v>
      </c>
      <c r="P96" s="4">
        <f t="shared" si="65"/>
        <v>3.7603947941524463</v>
      </c>
      <c r="Q96" s="386">
        <f t="shared" si="66"/>
        <v>12.048999159708552</v>
      </c>
      <c r="R96" s="386">
        <f t="shared" si="101"/>
        <v>0.50603633925211022</v>
      </c>
      <c r="S96" s="386">
        <f t="shared" si="67"/>
        <v>0.29705785966639947</v>
      </c>
      <c r="T96" s="386">
        <f t="shared" si="102"/>
        <v>0.80309419891850964</v>
      </c>
      <c r="U96" s="4">
        <f t="shared" si="68"/>
        <v>1.0855324733315912</v>
      </c>
      <c r="V96" s="386">
        <f t="shared" si="103"/>
        <v>2.3567615013148037E-3</v>
      </c>
      <c r="W96" s="386">
        <f t="shared" si="104"/>
        <v>2.3567615013148037E-3</v>
      </c>
      <c r="X96" s="386">
        <f t="shared" si="69"/>
        <v>5.7955236749923653</v>
      </c>
      <c r="Y96" s="386">
        <f t="shared" si="105"/>
        <v>6.7176189334794023E-2</v>
      </c>
      <c r="Z96" s="603">
        <f t="shared" si="106"/>
        <v>6.7176189334794023E-2</v>
      </c>
      <c r="AA96" s="386">
        <f t="shared" si="70"/>
        <v>9.6130918761380943</v>
      </c>
      <c r="AB96" s="386">
        <f t="shared" si="71"/>
        <v>0.52674575188871164</v>
      </c>
      <c r="AC96" s="386">
        <f t="shared" si="72"/>
        <v>0.19558721590909092</v>
      </c>
      <c r="AD96">
        <f t="shared" si="73"/>
        <v>0</v>
      </c>
      <c r="AE96" s="386">
        <f t="shared" si="74"/>
        <v>0.80739091468229007</v>
      </c>
      <c r="AF96" s="386">
        <f t="shared" si="75"/>
        <v>7.2640791110494636</v>
      </c>
      <c r="AG96" s="386">
        <f t="shared" si="76"/>
        <v>0.30077101839003545</v>
      </c>
      <c r="AH96" s="386">
        <f t="shared" si="77"/>
        <v>0.24</v>
      </c>
      <c r="AI96" s="386">
        <f t="shared" si="78"/>
        <v>0.57538270693585802</v>
      </c>
      <c r="AJ96" s="386">
        <f t="shared" si="79"/>
        <v>0</v>
      </c>
      <c r="AK96" s="386">
        <f t="shared" si="80"/>
        <v>0</v>
      </c>
      <c r="AL96" s="386">
        <f t="shared" si="81"/>
        <v>0</v>
      </c>
      <c r="AM96">
        <f t="shared" si="82"/>
        <v>0</v>
      </c>
      <c r="AN96" s="386">
        <f t="shared" si="83"/>
        <v>0</v>
      </c>
      <c r="AO96" s="386">
        <f t="shared" si="84"/>
        <v>12.048999159708552</v>
      </c>
      <c r="AP96" s="386">
        <f t="shared" si="85"/>
        <v>0.27583892342624905</v>
      </c>
      <c r="AQ96" s="386">
        <f t="shared" si="86"/>
        <v>0</v>
      </c>
      <c r="AR96" s="386">
        <f t="shared" si="87"/>
        <v>0.29194487545533082</v>
      </c>
      <c r="AS96" s="386">
        <f t="shared" si="88"/>
        <v>0.27583892342624905</v>
      </c>
      <c r="AT96" s="386">
        <f t="shared" si="89"/>
        <v>0</v>
      </c>
      <c r="AU96" s="386">
        <f t="shared" si="90"/>
        <v>0.29896020000000001</v>
      </c>
      <c r="AV96" s="386">
        <f t="shared" si="91"/>
        <v>0.21106738132634068</v>
      </c>
      <c r="AW96" s="386">
        <f t="shared" si="92"/>
        <v>0.59328000000000003</v>
      </c>
      <c r="AX96" s="386">
        <f t="shared" si="93"/>
        <v>3.6000000000000004E-2</v>
      </c>
      <c r="AY96" s="386">
        <f t="shared" si="94"/>
        <v>6.6000000000000003E-2</v>
      </c>
      <c r="AZ96" s="386">
        <f t="shared" si="95"/>
        <v>4.3499999999999997E-2</v>
      </c>
      <c r="BA96" s="386">
        <f t="shared" si="113"/>
        <v>0.10200000000000001</v>
      </c>
      <c r="BB96" s="386">
        <f t="shared" si="114"/>
        <v>3.752653228154438</v>
      </c>
      <c r="BC96">
        <f t="shared" si="96"/>
        <v>144</v>
      </c>
      <c r="BD96" s="604">
        <f t="shared" si="107"/>
        <v>0.97460178787882934</v>
      </c>
      <c r="BE96" s="614">
        <f t="shared" si="97"/>
        <v>55.317555734114499</v>
      </c>
      <c r="BF96" s="614">
        <f t="shared" si="98"/>
        <v>28.769135346792901</v>
      </c>
      <c r="BG96" s="9"/>
      <c r="BH96" s="4">
        <f t="shared" si="108"/>
        <v>97.460178787882938</v>
      </c>
      <c r="BI96" s="386">
        <f t="shared" si="109"/>
        <v>0.80309419891850964</v>
      </c>
      <c r="BJ96" s="386">
        <f t="shared" si="110"/>
        <v>1.973678697073479</v>
      </c>
      <c r="BK96" s="386">
        <f t="shared" si="111"/>
        <v>0.67403957293585803</v>
      </c>
      <c r="BL96" s="386">
        <f t="shared" si="112"/>
        <v>0.21106738132634068</v>
      </c>
      <c r="BR96" s="18"/>
      <c r="BS96" s="19"/>
    </row>
    <row r="97" spans="7:71" x14ac:dyDescent="0.2">
      <c r="G97">
        <v>88</v>
      </c>
      <c r="H97" s="610">
        <f t="shared" si="59"/>
        <v>19.2</v>
      </c>
      <c r="I97" s="4" t="str">
        <f t="shared" si="60"/>
        <v>BUCK</v>
      </c>
      <c r="J97">
        <f t="shared" si="99"/>
        <v>1</v>
      </c>
      <c r="K97">
        <f t="shared" si="61"/>
        <v>12</v>
      </c>
      <c r="L97" s="4">
        <f t="shared" si="62"/>
        <v>8.3333333333333321</v>
      </c>
      <c r="M97" s="4">
        <f t="shared" si="63"/>
        <v>12</v>
      </c>
      <c r="N97" s="386">
        <f t="shared" si="64"/>
        <v>0.63157730673316714</v>
      </c>
      <c r="O97" s="386">
        <f t="shared" si="100"/>
        <v>0</v>
      </c>
      <c r="P97" s="4">
        <f t="shared" si="65"/>
        <v>3.8117168621000697</v>
      </c>
      <c r="Q97" s="386">
        <f t="shared" si="66"/>
        <v>12.050342959977039</v>
      </c>
      <c r="R97" s="386">
        <f t="shared" si="101"/>
        <v>0.50615379074456379</v>
      </c>
      <c r="S97" s="386">
        <f t="shared" si="67"/>
        <v>0.3064821140753986</v>
      </c>
      <c r="T97" s="386">
        <f t="shared" si="102"/>
        <v>0.8126359048199624</v>
      </c>
      <c r="U97" s="4">
        <f t="shared" si="68"/>
        <v>1.1003478782040554</v>
      </c>
      <c r="V97" s="386">
        <f t="shared" si="103"/>
        <v>2.4215309061363338E-3</v>
      </c>
      <c r="W97" s="386">
        <f t="shared" si="104"/>
        <v>2.4215309061363338E-3</v>
      </c>
      <c r="X97" s="386">
        <f t="shared" si="69"/>
        <v>5.8128063152878644</v>
      </c>
      <c r="Y97" s="386">
        <f t="shared" si="105"/>
        <v>6.7577434518100957E-2</v>
      </c>
      <c r="Z97" s="603">
        <f t="shared" si="106"/>
        <v>6.7577434518100957E-2</v>
      </c>
      <c r="AA97" s="386">
        <f t="shared" si="70"/>
        <v>9.5766290600351862</v>
      </c>
      <c r="AB97" s="386">
        <f t="shared" si="71"/>
        <v>0.52275739767500939</v>
      </c>
      <c r="AC97" s="386">
        <f t="shared" si="72"/>
        <v>0.19712727272727268</v>
      </c>
      <c r="AD97">
        <f t="shared" si="73"/>
        <v>0</v>
      </c>
      <c r="AE97" s="386">
        <f t="shared" si="74"/>
        <v>0.80393752845607769</v>
      </c>
      <c r="AF97" s="386">
        <f t="shared" si="75"/>
        <v>7.3142970475335325</v>
      </c>
      <c r="AG97" s="386">
        <f t="shared" si="76"/>
        <v>0.3049439654074792</v>
      </c>
      <c r="AH97" s="386">
        <f t="shared" si="77"/>
        <v>0.24</v>
      </c>
      <c r="AI97" s="386">
        <f t="shared" si="78"/>
        <v>0.58033808477727189</v>
      </c>
      <c r="AJ97" s="386">
        <f t="shared" si="79"/>
        <v>0</v>
      </c>
      <c r="AK97" s="386">
        <f t="shared" si="80"/>
        <v>0</v>
      </c>
      <c r="AL97" s="386">
        <f t="shared" si="81"/>
        <v>0</v>
      </c>
      <c r="AM97">
        <f t="shared" si="82"/>
        <v>0</v>
      </c>
      <c r="AN97" s="386">
        <f t="shared" si="83"/>
        <v>0</v>
      </c>
      <c r="AO97" s="386">
        <f t="shared" si="84"/>
        <v>12.050342959977039</v>
      </c>
      <c r="AP97" s="386">
        <f t="shared" si="85"/>
        <v>0.27590045436082955</v>
      </c>
      <c r="AQ97" s="386">
        <f t="shared" si="86"/>
        <v>0</v>
      </c>
      <c r="AR97" s="386">
        <f t="shared" si="87"/>
        <v>0.29201380251979875</v>
      </c>
      <c r="AS97" s="386">
        <f t="shared" si="88"/>
        <v>0.27590045436082955</v>
      </c>
      <c r="AT97" s="386">
        <f t="shared" si="89"/>
        <v>0</v>
      </c>
      <c r="AU97" s="386">
        <f t="shared" si="90"/>
        <v>0.3013227</v>
      </c>
      <c r="AV97" s="386">
        <f t="shared" si="91"/>
        <v>0.21399576519823099</v>
      </c>
      <c r="AW97" s="386">
        <f t="shared" si="92"/>
        <v>0.59328000000000003</v>
      </c>
      <c r="AX97" s="386">
        <f t="shared" si="93"/>
        <v>3.6000000000000004E-2</v>
      </c>
      <c r="AY97" s="386">
        <f t="shared" si="94"/>
        <v>6.6000000000000003E-2</v>
      </c>
      <c r="AZ97" s="386">
        <f t="shared" si="95"/>
        <v>4.3499999999999997E-2</v>
      </c>
      <c r="BA97" s="386">
        <f t="shared" si="113"/>
        <v>0.10200000000000001</v>
      </c>
      <c r="BB97" s="386">
        <f t="shared" si="114"/>
        <v>3.7695227511955789</v>
      </c>
      <c r="BC97">
        <f t="shared" si="96"/>
        <v>144</v>
      </c>
      <c r="BD97" s="604">
        <f t="shared" si="107"/>
        <v>0.97449052632089461</v>
      </c>
      <c r="BE97" s="614">
        <f t="shared" si="97"/>
        <v>55.263011422803885</v>
      </c>
      <c r="BF97" s="614">
        <f t="shared" si="98"/>
        <v>29.016904238863596</v>
      </c>
      <c r="BG97" s="9"/>
      <c r="BH97" s="4">
        <f t="shared" si="108"/>
        <v>97.449052632089462</v>
      </c>
      <c r="BI97" s="386">
        <f t="shared" si="109"/>
        <v>0.8126359048199624</v>
      </c>
      <c r="BJ97" s="386">
        <f t="shared" si="110"/>
        <v>1.9776121157531483</v>
      </c>
      <c r="BK97" s="386">
        <f t="shared" si="111"/>
        <v>0.67977457577727185</v>
      </c>
      <c r="BL97" s="386">
        <f t="shared" si="112"/>
        <v>0.21399576519823099</v>
      </c>
      <c r="BR97" s="18"/>
      <c r="BS97" s="19"/>
    </row>
    <row r="98" spans="7:71" x14ac:dyDescent="0.2">
      <c r="G98">
        <v>89</v>
      </c>
      <c r="H98" s="610">
        <f t="shared" si="59"/>
        <v>19.350000000000001</v>
      </c>
      <c r="I98" s="4" t="str">
        <f t="shared" si="60"/>
        <v>BUCK</v>
      </c>
      <c r="J98">
        <f t="shared" si="99"/>
        <v>1</v>
      </c>
      <c r="K98">
        <f t="shared" si="61"/>
        <v>12</v>
      </c>
      <c r="L98" s="4">
        <f t="shared" si="62"/>
        <v>8.2687338501291983</v>
      </c>
      <c r="M98" s="4">
        <f t="shared" si="63"/>
        <v>12</v>
      </c>
      <c r="N98" s="386">
        <f t="shared" si="64"/>
        <v>0.62669347355397464</v>
      </c>
      <c r="O98" s="386">
        <f t="shared" si="100"/>
        <v>0</v>
      </c>
      <c r="P98" s="4">
        <f t="shared" si="65"/>
        <v>3.8622452079946838</v>
      </c>
      <c r="Q98" s="386">
        <f t="shared" si="66"/>
        <v>12.051683623899049</v>
      </c>
      <c r="R98" s="386">
        <f t="shared" si="101"/>
        <v>0.50627098327934461</v>
      </c>
      <c r="S98" s="386">
        <f t="shared" si="67"/>
        <v>0.31592369027479095</v>
      </c>
      <c r="T98" s="386">
        <f t="shared" si="102"/>
        <v>0.82219467355413556</v>
      </c>
      <c r="U98" s="4">
        <f t="shared" si="68"/>
        <v>1.1149341552560366</v>
      </c>
      <c r="V98" s="386">
        <f t="shared" si="103"/>
        <v>2.486156341112984E-3</v>
      </c>
      <c r="W98" s="386">
        <f t="shared" si="104"/>
        <v>2.486156341112984E-3</v>
      </c>
      <c r="X98" s="386">
        <f t="shared" si="69"/>
        <v>5.8291885012005364</v>
      </c>
      <c r="Y98" s="386">
        <f t="shared" si="105"/>
        <v>6.7958877165057122E-2</v>
      </c>
      <c r="Z98" s="603">
        <f t="shared" si="106"/>
        <v>6.7958877165057122E-2</v>
      </c>
      <c r="AA98" s="386">
        <f t="shared" si="70"/>
        <v>9.5405916571446205</v>
      </c>
      <c r="AB98" s="386">
        <f t="shared" si="71"/>
        <v>0.51883046825975199</v>
      </c>
      <c r="AC98" s="386">
        <f t="shared" si="72"/>
        <v>0.19866732954545455</v>
      </c>
      <c r="AD98">
        <f t="shared" si="73"/>
        <v>0</v>
      </c>
      <c r="AE98" s="386">
        <f t="shared" si="74"/>
        <v>0.8005697984902711</v>
      </c>
      <c r="AF98" s="386">
        <f t="shared" si="75"/>
        <v>7.3634359508438028</v>
      </c>
      <c r="AG98" s="386">
        <f t="shared" si="76"/>
        <v>0.30905507731242016</v>
      </c>
      <c r="AH98" s="386">
        <f t="shared" si="77"/>
        <v>0.24</v>
      </c>
      <c r="AI98" s="386">
        <f t="shared" si="78"/>
        <v>0.58522865473961938</v>
      </c>
      <c r="AJ98" s="386">
        <f t="shared" si="79"/>
        <v>0</v>
      </c>
      <c r="AK98" s="386">
        <f t="shared" si="80"/>
        <v>0</v>
      </c>
      <c r="AL98" s="386">
        <f t="shared" si="81"/>
        <v>0</v>
      </c>
      <c r="AM98">
        <f t="shared" si="82"/>
        <v>0</v>
      </c>
      <c r="AN98" s="386">
        <f t="shared" si="83"/>
        <v>0</v>
      </c>
      <c r="AO98" s="386">
        <f t="shared" si="84"/>
        <v>12.051683623899049</v>
      </c>
      <c r="AP98" s="386">
        <f t="shared" si="85"/>
        <v>0.27596184852405736</v>
      </c>
      <c r="AQ98" s="386">
        <f t="shared" si="86"/>
        <v>0</v>
      </c>
      <c r="AR98" s="386">
        <f t="shared" si="87"/>
        <v>0.29208257816232702</v>
      </c>
      <c r="AS98" s="386">
        <f t="shared" si="88"/>
        <v>0.27596184852405736</v>
      </c>
      <c r="AT98" s="386">
        <f t="shared" si="89"/>
        <v>0</v>
      </c>
      <c r="AU98" s="386">
        <f t="shared" si="90"/>
        <v>0.30368520000000004</v>
      </c>
      <c r="AV98" s="386">
        <f t="shared" si="91"/>
        <v>0.2168807560087159</v>
      </c>
      <c r="AW98" s="386">
        <f t="shared" si="92"/>
        <v>0.59328000000000003</v>
      </c>
      <c r="AX98" s="386">
        <f t="shared" si="93"/>
        <v>3.6000000000000004E-2</v>
      </c>
      <c r="AY98" s="386">
        <f t="shared" si="94"/>
        <v>6.6000000000000003E-2</v>
      </c>
      <c r="AZ98" s="386">
        <f t="shared" si="95"/>
        <v>4.3499999999999997E-2</v>
      </c>
      <c r="BA98" s="386">
        <f t="shared" si="113"/>
        <v>0.10200000000000001</v>
      </c>
      <c r="BB98" s="386">
        <f t="shared" si="114"/>
        <v>3.7863666944612389</v>
      </c>
      <c r="BC98">
        <f t="shared" si="96"/>
        <v>144</v>
      </c>
      <c r="BD98" s="604">
        <f t="shared" si="107"/>
        <v>0.97437945881510635</v>
      </c>
      <c r="BE98" s="614">
        <f t="shared" si="97"/>
        <v>55.21274992451356</v>
      </c>
      <c r="BF98" s="614">
        <f t="shared" si="98"/>
        <v>29.261432736980968</v>
      </c>
      <c r="BG98" s="9"/>
      <c r="BH98" s="4">
        <f t="shared" si="108"/>
        <v>97.437945881510629</v>
      </c>
      <c r="BI98" s="386">
        <f t="shared" si="109"/>
        <v>0.82219467355413556</v>
      </c>
      <c r="BJ98" s="386">
        <f t="shared" si="110"/>
        <v>1.9815662313922175</v>
      </c>
      <c r="BK98" s="386">
        <f t="shared" si="111"/>
        <v>0.6854447707396194</v>
      </c>
      <c r="BL98" s="386">
        <f t="shared" si="112"/>
        <v>0.2168807560087159</v>
      </c>
      <c r="BR98" s="18"/>
      <c r="BS98" s="19"/>
    </row>
    <row r="99" spans="7:71" x14ac:dyDescent="0.2">
      <c r="G99">
        <v>90</v>
      </c>
      <c r="H99" s="610">
        <f t="shared" si="59"/>
        <v>19.5</v>
      </c>
      <c r="I99" s="4" t="str">
        <f t="shared" si="60"/>
        <v>BUCK</v>
      </c>
      <c r="J99">
        <f t="shared" si="99"/>
        <v>1</v>
      </c>
      <c r="K99">
        <f t="shared" si="61"/>
        <v>12</v>
      </c>
      <c r="L99" s="4">
        <f t="shared" si="62"/>
        <v>8.2051282051282044</v>
      </c>
      <c r="M99" s="4">
        <f t="shared" si="63"/>
        <v>12</v>
      </c>
      <c r="N99" s="386">
        <f t="shared" si="64"/>
        <v>0.6218845917740945</v>
      </c>
      <c r="O99" s="386">
        <f t="shared" si="100"/>
        <v>0</v>
      </c>
      <c r="P99" s="4">
        <f t="shared" si="65"/>
        <v>3.9119981035225893</v>
      </c>
      <c r="Q99" s="386">
        <f t="shared" si="66"/>
        <v>12.053020814862016</v>
      </c>
      <c r="R99" s="386">
        <f t="shared" si="101"/>
        <v>0.50638788732061091</v>
      </c>
      <c r="S99" s="386">
        <f t="shared" si="67"/>
        <v>0.32537909867589693</v>
      </c>
      <c r="T99" s="386">
        <f t="shared" si="102"/>
        <v>0.83176698599650778</v>
      </c>
      <c r="U99" s="4">
        <f t="shared" si="68"/>
        <v>1.1292965790690364</v>
      </c>
      <c r="V99" s="386">
        <f t="shared" si="103"/>
        <v>2.5506215269940563E-3</v>
      </c>
      <c r="W99" s="386">
        <f t="shared" si="104"/>
        <v>2.5506215269940563E-3</v>
      </c>
      <c r="X99" s="386">
        <f t="shared" si="69"/>
        <v>5.844710337237891</v>
      </c>
      <c r="Y99" s="386">
        <f t="shared" si="105"/>
        <v>6.8321277852430931E-2</v>
      </c>
      <c r="Z99" s="603">
        <f t="shared" si="106"/>
        <v>6.8321277852430931E-2</v>
      </c>
      <c r="AA99" s="386">
        <f t="shared" si="70"/>
        <v>9.5049711903304601</v>
      </c>
      <c r="AB99" s="386">
        <f t="shared" si="71"/>
        <v>0.51496352077536867</v>
      </c>
      <c r="AC99" s="386">
        <f t="shared" si="72"/>
        <v>0.20020738636363636</v>
      </c>
      <c r="AD99">
        <f t="shared" si="73"/>
        <v>0</v>
      </c>
      <c r="AE99" s="386">
        <f t="shared" si="74"/>
        <v>0.79728549639650093</v>
      </c>
      <c r="AF99" s="386">
        <f t="shared" si="75"/>
        <v>7.4115338111948841</v>
      </c>
      <c r="AG99" s="386">
        <f t="shared" si="76"/>
        <v>0.31310575057656431</v>
      </c>
      <c r="AH99" s="386">
        <f t="shared" si="77"/>
        <v>0.24</v>
      </c>
      <c r="AI99" s="386">
        <f t="shared" si="78"/>
        <v>0.59005571828786763</v>
      </c>
      <c r="AJ99" s="386">
        <f t="shared" si="79"/>
        <v>0</v>
      </c>
      <c r="AK99" s="386">
        <f t="shared" si="80"/>
        <v>0</v>
      </c>
      <c r="AL99" s="386">
        <f t="shared" si="81"/>
        <v>0</v>
      </c>
      <c r="AM99">
        <f t="shared" si="82"/>
        <v>0</v>
      </c>
      <c r="AN99" s="386">
        <f t="shared" si="83"/>
        <v>0</v>
      </c>
      <c r="AO99" s="386">
        <f t="shared" si="84"/>
        <v>12.053020814862016</v>
      </c>
      <c r="AP99" s="386">
        <f t="shared" si="85"/>
        <v>0.27602309045064438</v>
      </c>
      <c r="AQ99" s="386">
        <f t="shared" si="86"/>
        <v>0</v>
      </c>
      <c r="AR99" s="386">
        <f t="shared" si="87"/>
        <v>0.29215118504566912</v>
      </c>
      <c r="AS99" s="386">
        <f t="shared" si="88"/>
        <v>0.27602309045064438</v>
      </c>
      <c r="AT99" s="386">
        <f t="shared" si="89"/>
        <v>0</v>
      </c>
      <c r="AU99" s="386">
        <f t="shared" si="90"/>
        <v>0.30604769999999998</v>
      </c>
      <c r="AV99" s="386">
        <f t="shared" si="91"/>
        <v>0.21972333373793987</v>
      </c>
      <c r="AW99" s="386">
        <f t="shared" si="92"/>
        <v>0.59328000000000003</v>
      </c>
      <c r="AX99" s="386">
        <f t="shared" si="93"/>
        <v>3.6000000000000004E-2</v>
      </c>
      <c r="AY99" s="386">
        <f t="shared" si="94"/>
        <v>6.6000000000000003E-2</v>
      </c>
      <c r="AZ99" s="386">
        <f t="shared" si="95"/>
        <v>4.3499999999999997E-2</v>
      </c>
      <c r="BA99" s="386">
        <f t="shared" si="113"/>
        <v>0.10200000000000001</v>
      </c>
      <c r="BB99" s="386">
        <f t="shared" si="114"/>
        <v>3.8031823188439104</v>
      </c>
      <c r="BC99">
        <f t="shared" si="96"/>
        <v>144</v>
      </c>
      <c r="BD99" s="604">
        <f t="shared" si="107"/>
        <v>0.97426860329272469</v>
      </c>
      <c r="BE99" s="614">
        <f t="shared" si="97"/>
        <v>55.16665981982505</v>
      </c>
      <c r="BF99" s="614">
        <f t="shared" si="98"/>
        <v>29.502785914393382</v>
      </c>
      <c r="BG99" s="9"/>
      <c r="BH99" s="4">
        <f t="shared" si="108"/>
        <v>97.426860329272472</v>
      </c>
      <c r="BI99" s="386">
        <f t="shared" si="109"/>
        <v>0.83176698599650778</v>
      </c>
      <c r="BJ99" s="386">
        <f t="shared" si="110"/>
        <v>1.9855400997300376</v>
      </c>
      <c r="BK99" s="386">
        <f t="shared" si="111"/>
        <v>0.6910514592878676</v>
      </c>
      <c r="BL99" s="386">
        <f t="shared" si="112"/>
        <v>0.21972333373793987</v>
      </c>
      <c r="BR99" s="18"/>
      <c r="BS99" s="19"/>
    </row>
    <row r="100" spans="7:71" x14ac:dyDescent="0.2">
      <c r="G100">
        <v>91</v>
      </c>
      <c r="H100" s="610">
        <f t="shared" si="59"/>
        <v>19.649999999999999</v>
      </c>
      <c r="I100" s="4" t="str">
        <f t="shared" si="60"/>
        <v>BUCK</v>
      </c>
      <c r="J100">
        <f t="shared" si="99"/>
        <v>1</v>
      </c>
      <c r="K100">
        <f t="shared" si="61"/>
        <v>12</v>
      </c>
      <c r="L100" s="4">
        <f t="shared" si="62"/>
        <v>8.1424936386768447</v>
      </c>
      <c r="M100" s="4">
        <f t="shared" si="63"/>
        <v>12</v>
      </c>
      <c r="N100" s="386">
        <f t="shared" si="64"/>
        <v>0.61714894913189167</v>
      </c>
      <c r="O100" s="386">
        <f t="shared" si="100"/>
        <v>0</v>
      </c>
      <c r="P100" s="4">
        <f t="shared" si="65"/>
        <v>3.9609932638155296</v>
      </c>
      <c r="Q100" s="386">
        <f t="shared" si="66"/>
        <v>12.054354218967214</v>
      </c>
      <c r="R100" s="386">
        <f t="shared" si="101"/>
        <v>0.5065044753037623</v>
      </c>
      <c r="S100" s="386">
        <f t="shared" si="67"/>
        <v>0.33484502493311258</v>
      </c>
      <c r="T100" s="386">
        <f t="shared" si="102"/>
        <v>0.84134950023687494</v>
      </c>
      <c r="U100" s="4">
        <f t="shared" si="68"/>
        <v>1.1434402635610952</v>
      </c>
      <c r="V100" s="386">
        <f t="shared" si="103"/>
        <v>2.6149112726653336E-3</v>
      </c>
      <c r="W100" s="386">
        <f t="shared" si="104"/>
        <v>2.6149112726653336E-3</v>
      </c>
      <c r="X100" s="386">
        <f t="shared" si="69"/>
        <v>5.8594097283749731</v>
      </c>
      <c r="Y100" s="386">
        <f t="shared" si="105"/>
        <v>6.8665364729950551E-2</v>
      </c>
      <c r="Z100" s="603">
        <f t="shared" si="106"/>
        <v>6.8665364729950551E-2</v>
      </c>
      <c r="AA100" s="386">
        <f t="shared" si="70"/>
        <v>9.4697594239236977</v>
      </c>
      <c r="AB100" s="386">
        <f t="shared" si="71"/>
        <v>0.51115515821785262</v>
      </c>
      <c r="AC100" s="386">
        <f t="shared" si="72"/>
        <v>0.20174744318181814</v>
      </c>
      <c r="AD100">
        <f t="shared" si="73"/>
        <v>0</v>
      </c>
      <c r="AE100" s="386">
        <f t="shared" si="74"/>
        <v>0.79408247169068591</v>
      </c>
      <c r="AF100" s="386">
        <f t="shared" si="75"/>
        <v>7.458626689233145</v>
      </c>
      <c r="AG100" s="386">
        <f t="shared" si="76"/>
        <v>0.31709733890924363</v>
      </c>
      <c r="AH100" s="386">
        <f t="shared" si="77"/>
        <v>0.24</v>
      </c>
      <c r="AI100" s="386">
        <f t="shared" si="78"/>
        <v>0.5948205410482339</v>
      </c>
      <c r="AJ100" s="386">
        <f t="shared" si="79"/>
        <v>0</v>
      </c>
      <c r="AK100" s="386">
        <f t="shared" si="80"/>
        <v>0</v>
      </c>
      <c r="AL100" s="386">
        <f t="shared" si="81"/>
        <v>0</v>
      </c>
      <c r="AM100">
        <f t="shared" si="82"/>
        <v>0</v>
      </c>
      <c r="AN100" s="386">
        <f t="shared" si="83"/>
        <v>0</v>
      </c>
      <c r="AO100" s="386">
        <f t="shared" si="84"/>
        <v>12.054354218967214</v>
      </c>
      <c r="AP100" s="386">
        <f t="shared" si="85"/>
        <v>0.27608416570903205</v>
      </c>
      <c r="AQ100" s="386">
        <f t="shared" si="86"/>
        <v>0</v>
      </c>
      <c r="AR100" s="386">
        <f t="shared" si="87"/>
        <v>0.29221960698890254</v>
      </c>
      <c r="AS100" s="386">
        <f t="shared" si="88"/>
        <v>0.27608416570903205</v>
      </c>
      <c r="AT100" s="386">
        <f t="shared" si="89"/>
        <v>0</v>
      </c>
      <c r="AU100" s="386">
        <f t="shared" si="90"/>
        <v>0.30841019999999997</v>
      </c>
      <c r="AV100" s="386">
        <f t="shared" si="91"/>
        <v>0.22252444835736396</v>
      </c>
      <c r="AW100" s="386">
        <f t="shared" si="92"/>
        <v>0.59328000000000003</v>
      </c>
      <c r="AX100" s="386">
        <f t="shared" si="93"/>
        <v>3.6000000000000004E-2</v>
      </c>
      <c r="AY100" s="386">
        <f t="shared" si="94"/>
        <v>6.6000000000000003E-2</v>
      </c>
      <c r="AZ100" s="386">
        <f t="shared" si="95"/>
        <v>4.3499999999999997E-2</v>
      </c>
      <c r="BA100" s="386">
        <f t="shared" si="113"/>
        <v>0.10200000000000001</v>
      </c>
      <c r="BB100" s="386">
        <f t="shared" si="114"/>
        <v>3.8199670443246769</v>
      </c>
      <c r="BC100">
        <f t="shared" si="96"/>
        <v>144</v>
      </c>
      <c r="BD100" s="604">
        <f t="shared" si="107"/>
        <v>0.97415797662044379</v>
      </c>
      <c r="BE100" s="614">
        <f t="shared" si="97"/>
        <v>55.124633584534301</v>
      </c>
      <c r="BF100" s="614">
        <f t="shared" si="98"/>
        <v>29.741027052411695</v>
      </c>
      <c r="BG100" s="9"/>
      <c r="BH100" s="4">
        <f t="shared" si="108"/>
        <v>97.415797662044383</v>
      </c>
      <c r="BI100" s="386">
        <f t="shared" si="109"/>
        <v>0.84134950023687494</v>
      </c>
      <c r="BJ100" s="386">
        <f t="shared" si="110"/>
        <v>1.9895328197278221</v>
      </c>
      <c r="BK100" s="386">
        <f t="shared" si="111"/>
        <v>0.69659590704823393</v>
      </c>
      <c r="BL100" s="386">
        <f t="shared" si="112"/>
        <v>0.22252444835736396</v>
      </c>
      <c r="BR100" s="18"/>
      <c r="BS100" s="19"/>
    </row>
    <row r="101" spans="7:71" x14ac:dyDescent="0.2">
      <c r="G101">
        <v>92</v>
      </c>
      <c r="H101" s="610">
        <f t="shared" si="59"/>
        <v>19.8</v>
      </c>
      <c r="I101" s="4" t="str">
        <f t="shared" si="60"/>
        <v>BUCK</v>
      </c>
      <c r="J101">
        <f t="shared" si="99"/>
        <v>1</v>
      </c>
      <c r="K101">
        <f t="shared" si="61"/>
        <v>12</v>
      </c>
      <c r="L101" s="4">
        <f t="shared" si="62"/>
        <v>8.0808080808080813</v>
      </c>
      <c r="M101" s="4">
        <f t="shared" si="63"/>
        <v>12</v>
      </c>
      <c r="N101" s="386">
        <f t="shared" si="64"/>
        <v>0.61248488512696497</v>
      </c>
      <c r="O101" s="386">
        <f t="shared" si="100"/>
        <v>0</v>
      </c>
      <c r="P101" s="4">
        <f t="shared" si="65"/>
        <v>4.0092478684813102</v>
      </c>
      <c r="Q101" s="386">
        <f t="shared" si="66"/>
        <v>12.055683543702953</v>
      </c>
      <c r="R101" s="386">
        <f t="shared" si="101"/>
        <v>0.5066207215207813</v>
      </c>
      <c r="S101" s="386">
        <f t="shared" si="67"/>
        <v>0.34431832195881978</v>
      </c>
      <c r="T101" s="386">
        <f t="shared" si="102"/>
        <v>0.85093904347960114</v>
      </c>
      <c r="U101" s="4">
        <f t="shared" si="68"/>
        <v>1.157370168057809</v>
      </c>
      <c r="V101" s="386">
        <f t="shared" si="103"/>
        <v>2.6790114118203224E-3</v>
      </c>
      <c r="W101" s="386">
        <f t="shared" si="104"/>
        <v>2.6790114118203224E-3</v>
      </c>
      <c r="X101" s="386">
        <f t="shared" si="69"/>
        <v>5.8733225308612571</v>
      </c>
      <c r="Y101" s="386">
        <f t="shared" si="105"/>
        <v>6.8991835103044963E-2</v>
      </c>
      <c r="Z101" s="603">
        <f t="shared" si="106"/>
        <v>6.8991835103044963E-2</v>
      </c>
      <c r="AA101" s="386">
        <f t="shared" si="70"/>
        <v>9.4349483547444102</v>
      </c>
      <c r="AB101" s="386">
        <f t="shared" si="71"/>
        <v>0.50740402760315717</v>
      </c>
      <c r="AC101" s="386">
        <f t="shared" si="72"/>
        <v>0.20328750000000001</v>
      </c>
      <c r="AD101">
        <f t="shared" si="73"/>
        <v>0</v>
      </c>
      <c r="AE101" s="386">
        <f t="shared" si="74"/>
        <v>0.79095864837362218</v>
      </c>
      <c r="AF101" s="386">
        <f t="shared" si="75"/>
        <v>7.5047488465115144</v>
      </c>
      <c r="AG101" s="386">
        <f t="shared" si="76"/>
        <v>0.32103115492053069</v>
      </c>
      <c r="AH101" s="386">
        <f t="shared" si="77"/>
        <v>0.24</v>
      </c>
      <c r="AI101" s="386">
        <f t="shared" si="78"/>
        <v>0.59952435407913252</v>
      </c>
      <c r="AJ101" s="386">
        <f t="shared" si="79"/>
        <v>0</v>
      </c>
      <c r="AK101" s="386">
        <f t="shared" si="80"/>
        <v>0</v>
      </c>
      <c r="AL101" s="386">
        <f t="shared" si="81"/>
        <v>0</v>
      </c>
      <c r="AM101">
        <f t="shared" si="82"/>
        <v>0</v>
      </c>
      <c r="AN101" s="386">
        <f t="shared" si="83"/>
        <v>0</v>
      </c>
      <c r="AO101" s="386">
        <f t="shared" si="84"/>
        <v>12.055683543702953</v>
      </c>
      <c r="AP101" s="386">
        <f t="shared" si="85"/>
        <v>0.27614506084122936</v>
      </c>
      <c r="AQ101" s="386">
        <f t="shared" si="86"/>
        <v>0</v>
      </c>
      <c r="AR101" s="386">
        <f t="shared" si="87"/>
        <v>0.29228782890018801</v>
      </c>
      <c r="AS101" s="386">
        <f t="shared" si="88"/>
        <v>0.27614506084122936</v>
      </c>
      <c r="AT101" s="386">
        <f t="shared" si="89"/>
        <v>0</v>
      </c>
      <c r="AU101" s="386">
        <f t="shared" si="90"/>
        <v>0.31077270000000001</v>
      </c>
      <c r="AV101" s="386">
        <f t="shared" si="91"/>
        <v>0.22528502099686365</v>
      </c>
      <c r="AW101" s="386">
        <f t="shared" si="92"/>
        <v>0.59328000000000003</v>
      </c>
      <c r="AX101" s="386">
        <f t="shared" si="93"/>
        <v>3.6000000000000004E-2</v>
      </c>
      <c r="AY101" s="386">
        <f t="shared" si="94"/>
        <v>6.6000000000000003E-2</v>
      </c>
      <c r="AZ101" s="386">
        <f t="shared" si="95"/>
        <v>4.3499999999999997E-2</v>
      </c>
      <c r="BA101" s="386">
        <f t="shared" si="113"/>
        <v>0.10200000000000001</v>
      </c>
      <c r="BB101" s="386">
        <f t="shared" si="114"/>
        <v>3.8367184423442726</v>
      </c>
      <c r="BC101">
        <f t="shared" si="96"/>
        <v>144</v>
      </c>
      <c r="BD101" s="604">
        <f t="shared" si="107"/>
        <v>0.97404759465192958</v>
      </c>
      <c r="BE101" s="614">
        <f t="shared" si="97"/>
        <v>55.086567418681106</v>
      </c>
      <c r="BF101" s="614">
        <f t="shared" si="98"/>
        <v>29.976217703956625</v>
      </c>
      <c r="BG101" s="9"/>
      <c r="BH101" s="4">
        <f t="shared" si="108"/>
        <v>97.404759465192953</v>
      </c>
      <c r="BI101" s="386">
        <f t="shared" si="109"/>
        <v>0.85093904347960114</v>
      </c>
      <c r="BJ101" s="386">
        <f t="shared" si="110"/>
        <v>1.9935435313529426</v>
      </c>
      <c r="BK101" s="386">
        <f t="shared" si="111"/>
        <v>0.7020793450791325</v>
      </c>
      <c r="BL101" s="386">
        <f t="shared" si="112"/>
        <v>0.22528502099686365</v>
      </c>
      <c r="BR101" s="18"/>
      <c r="BS101" s="19"/>
    </row>
    <row r="102" spans="7:71" x14ac:dyDescent="0.2">
      <c r="G102">
        <v>93</v>
      </c>
      <c r="H102" s="610">
        <f t="shared" si="59"/>
        <v>19.950000000000003</v>
      </c>
      <c r="I102" s="4" t="str">
        <f t="shared" si="60"/>
        <v>BUCK</v>
      </c>
      <c r="J102">
        <f t="shared" si="99"/>
        <v>1</v>
      </c>
      <c r="K102">
        <f t="shared" si="61"/>
        <v>12</v>
      </c>
      <c r="L102" s="4">
        <f t="shared" si="62"/>
        <v>8.0200501253132828</v>
      </c>
      <c r="M102" s="4">
        <f t="shared" si="63"/>
        <v>12</v>
      </c>
      <c r="N102" s="386">
        <f t="shared" si="64"/>
        <v>0.60789078907890781</v>
      </c>
      <c r="O102" s="386">
        <f t="shared" si="100"/>
        <v>0</v>
      </c>
      <c r="P102" s="4">
        <f t="shared" si="65"/>
        <v>4.0567785816879578</v>
      </c>
      <c r="Q102" s="386">
        <f t="shared" si="66"/>
        <v>12.057008516698364</v>
      </c>
      <c r="R102" s="386">
        <f t="shared" si="101"/>
        <v>0.50673660201253012</v>
      </c>
      <c r="S102" s="386">
        <f t="shared" si="67"/>
        <v>0.35379600228241004</v>
      </c>
      <c r="T102" s="386">
        <f t="shared" si="102"/>
        <v>0.86053260429494016</v>
      </c>
      <c r="U102" s="4">
        <f t="shared" si="68"/>
        <v>1.1710911030901254</v>
      </c>
      <c r="V102" s="386">
        <f t="shared" si="103"/>
        <v>2.7429087434736937E-3</v>
      </c>
      <c r="W102" s="386">
        <f t="shared" si="104"/>
        <v>2.7429087434736937E-3</v>
      </c>
      <c r="X102" s="386">
        <f t="shared" si="69"/>
        <v>5.8864826903497027</v>
      </c>
      <c r="Y102" s="386">
        <f t="shared" si="105"/>
        <v>6.930135692757336E-2</v>
      </c>
      <c r="Z102" s="603">
        <f t="shared" si="106"/>
        <v>6.930135692757336E-2</v>
      </c>
      <c r="AA102" s="386">
        <f t="shared" si="70"/>
        <v>9.4005302035355207</v>
      </c>
      <c r="AB102" s="386">
        <f t="shared" si="71"/>
        <v>0.50370881821322644</v>
      </c>
      <c r="AC102" s="386">
        <f t="shared" si="72"/>
        <v>0.20482755681818182</v>
      </c>
      <c r="AD102">
        <f t="shared" si="73"/>
        <v>0</v>
      </c>
      <c r="AE102" s="386">
        <f t="shared" si="74"/>
        <v>0.78791202169189156</v>
      </c>
      <c r="AF102" s="386">
        <f t="shared" si="75"/>
        <v>7.5499328648772304</v>
      </c>
      <c r="AG102" s="386">
        <f t="shared" si="76"/>
        <v>0.32490847170567383</v>
      </c>
      <c r="AH102" s="386">
        <f t="shared" si="77"/>
        <v>0.24</v>
      </c>
      <c r="AI102" s="386">
        <f t="shared" si="78"/>
        <v>0.60416835508649036</v>
      </c>
      <c r="AJ102" s="386">
        <f t="shared" si="79"/>
        <v>0</v>
      </c>
      <c r="AK102" s="386">
        <f t="shared" si="80"/>
        <v>0</v>
      </c>
      <c r="AL102" s="386">
        <f t="shared" si="81"/>
        <v>0</v>
      </c>
      <c r="AM102">
        <f t="shared" si="82"/>
        <v>0</v>
      </c>
      <c r="AN102" s="386">
        <f t="shared" si="83"/>
        <v>0</v>
      </c>
      <c r="AO102" s="386">
        <f t="shared" si="84"/>
        <v>12.057008516698364</v>
      </c>
      <c r="AP102" s="386">
        <f t="shared" si="85"/>
        <v>0.27620576330630009</v>
      </c>
      <c r="AQ102" s="386">
        <f t="shared" si="86"/>
        <v>0</v>
      </c>
      <c r="AR102" s="386">
        <f t="shared" si="87"/>
        <v>0.29235583671360688</v>
      </c>
      <c r="AS102" s="386">
        <f t="shared" si="88"/>
        <v>0.27620576330630009</v>
      </c>
      <c r="AT102" s="386">
        <f t="shared" si="89"/>
        <v>0</v>
      </c>
      <c r="AU102" s="386">
        <f t="shared" si="90"/>
        <v>0.31313520000000006</v>
      </c>
      <c r="AV102" s="386">
        <f t="shared" si="91"/>
        <v>0.2280059450566132</v>
      </c>
      <c r="AW102" s="386">
        <f t="shared" si="92"/>
        <v>0.59328000000000003</v>
      </c>
      <c r="AX102" s="386">
        <f t="shared" si="93"/>
        <v>3.6000000000000004E-2</v>
      </c>
      <c r="AY102" s="386">
        <f t="shared" si="94"/>
        <v>6.6000000000000003E-2</v>
      </c>
      <c r="AZ102" s="386">
        <f t="shared" si="95"/>
        <v>4.3499999999999997E-2</v>
      </c>
      <c r="BA102" s="386">
        <f t="shared" si="113"/>
        <v>0.10200000000000001</v>
      </c>
      <c r="BB102" s="386">
        <f t="shared" si="114"/>
        <v>3.8534342285145895</v>
      </c>
      <c r="BC102">
        <f t="shared" si="96"/>
        <v>144</v>
      </c>
      <c r="BD102" s="604">
        <f t="shared" si="107"/>
        <v>0.97393747227704608</v>
      </c>
      <c r="BE102" s="614">
        <f t="shared" si="97"/>
        <v>55.05236108459458</v>
      </c>
      <c r="BF102" s="614">
        <f t="shared" si="98"/>
        <v>30.208417754324518</v>
      </c>
      <c r="BG102" s="9"/>
      <c r="BH102" s="4">
        <f t="shared" si="108"/>
        <v>97.393747227704608</v>
      </c>
      <c r="BI102" s="386">
        <f t="shared" si="109"/>
        <v>0.86053260429494016</v>
      </c>
      <c r="BJ102" s="386">
        <f t="shared" si="110"/>
        <v>1.9975714134919889</v>
      </c>
      <c r="BK102" s="386">
        <f t="shared" si="111"/>
        <v>0.70750297108649041</v>
      </c>
      <c r="BL102" s="386">
        <f t="shared" si="112"/>
        <v>0.2280059450566132</v>
      </c>
      <c r="BR102" s="18"/>
      <c r="BS102" s="19"/>
    </row>
    <row r="103" spans="7:71" x14ac:dyDescent="0.2">
      <c r="G103">
        <v>94</v>
      </c>
      <c r="H103" s="610">
        <f t="shared" si="59"/>
        <v>20.100000000000001</v>
      </c>
      <c r="I103" s="4" t="str">
        <f t="shared" si="60"/>
        <v>BUCK</v>
      </c>
      <c r="J103">
        <f t="shared" si="99"/>
        <v>1</v>
      </c>
      <c r="K103">
        <f t="shared" si="61"/>
        <v>12</v>
      </c>
      <c r="L103" s="4">
        <f t="shared" si="62"/>
        <v>7.9601990049751228</v>
      </c>
      <c r="M103" s="4">
        <f t="shared" si="63"/>
        <v>12</v>
      </c>
      <c r="N103" s="386">
        <f t="shared" si="64"/>
        <v>0.6033650982727814</v>
      </c>
      <c r="O103" s="386">
        <f t="shared" si="100"/>
        <v>0</v>
      </c>
      <c r="P103" s="4">
        <f t="shared" si="65"/>
        <v>4.1036015713507288</v>
      </c>
      <c r="Q103" s="386">
        <f t="shared" si="66"/>
        <v>12.058328884552481</v>
      </c>
      <c r="R103" s="386">
        <f t="shared" si="101"/>
        <v>0.50685209446754853</v>
      </c>
      <c r="S103" s="386">
        <f t="shared" si="67"/>
        <v>0.36327523074203094</v>
      </c>
      <c r="T103" s="386">
        <f t="shared" si="102"/>
        <v>0.87012732520957947</v>
      </c>
      <c r="U103" s="4">
        <f t="shared" si="68"/>
        <v>1.1846077359331573</v>
      </c>
      <c r="V103" s="386">
        <f t="shared" si="103"/>
        <v>2.8065909760653616E-3</v>
      </c>
      <c r="W103" s="386">
        <f t="shared" si="104"/>
        <v>2.8065909760653616E-3</v>
      </c>
      <c r="X103" s="386">
        <f t="shared" si="69"/>
        <v>5.8989223686219976</v>
      </c>
      <c r="Y103" s="386">
        <f t="shared" si="105"/>
        <v>6.9594570222057908E-2</v>
      </c>
      <c r="Z103" s="603">
        <f t="shared" si="106"/>
        <v>6.9594570222057908E-2</v>
      </c>
      <c r="AA103" s="386">
        <f t="shared" si="70"/>
        <v>9.3664974067856921</v>
      </c>
      <c r="AB103" s="386">
        <f t="shared" si="71"/>
        <v>0.50006825992654169</v>
      </c>
      <c r="AC103" s="386">
        <f t="shared" si="72"/>
        <v>0.20636761363636363</v>
      </c>
      <c r="AD103">
        <f t="shared" si="73"/>
        <v>0</v>
      </c>
      <c r="AE103" s="386">
        <f t="shared" si="74"/>
        <v>0.78494065506799571</v>
      </c>
      <c r="AF103" s="386">
        <f t="shared" si="75"/>
        <v>7.5942097559067703</v>
      </c>
      <c r="AG103" s="386">
        <f t="shared" si="76"/>
        <v>0.32873052435524452</v>
      </c>
      <c r="AH103" s="386">
        <f t="shared" si="77"/>
        <v>0.24</v>
      </c>
      <c r="AI103" s="386">
        <f t="shared" si="78"/>
        <v>0.60875370958634867</v>
      </c>
      <c r="AJ103" s="386">
        <f t="shared" si="79"/>
        <v>0</v>
      </c>
      <c r="AK103" s="386">
        <f t="shared" si="80"/>
        <v>0</v>
      </c>
      <c r="AL103" s="386">
        <f t="shared" si="81"/>
        <v>0</v>
      </c>
      <c r="AM103">
        <f t="shared" si="82"/>
        <v>0</v>
      </c>
      <c r="AN103" s="386">
        <f t="shared" si="83"/>
        <v>0</v>
      </c>
      <c r="AO103" s="386">
        <f t="shared" si="84"/>
        <v>12.058328884552481</v>
      </c>
      <c r="AP103" s="386">
        <f t="shared" si="85"/>
        <v>0.27626626142726207</v>
      </c>
      <c r="AQ103" s="386">
        <f t="shared" si="86"/>
        <v>0</v>
      </c>
      <c r="AR103" s="386">
        <f t="shared" si="87"/>
        <v>0.2924236173298107</v>
      </c>
      <c r="AS103" s="386">
        <f t="shared" si="88"/>
        <v>0.27626626142726207</v>
      </c>
      <c r="AT103" s="386">
        <f t="shared" si="89"/>
        <v>0</v>
      </c>
      <c r="AU103" s="386">
        <f t="shared" si="90"/>
        <v>0.31549769999999999</v>
      </c>
      <c r="AV103" s="386">
        <f t="shared" si="91"/>
        <v>0.23068808726683826</v>
      </c>
      <c r="AW103" s="386">
        <f t="shared" si="92"/>
        <v>0.59328000000000003</v>
      </c>
      <c r="AX103" s="386">
        <f t="shared" si="93"/>
        <v>3.6000000000000004E-2</v>
      </c>
      <c r="AY103" s="386">
        <f t="shared" si="94"/>
        <v>6.6000000000000003E-2</v>
      </c>
      <c r="AZ103" s="386">
        <f t="shared" si="95"/>
        <v>4.3499999999999997E-2</v>
      </c>
      <c r="BA103" s="386">
        <f t="shared" si="113"/>
        <v>0.10200000000000001</v>
      </c>
      <c r="BB103" s="386">
        <f t="shared" si="114"/>
        <v>3.8701122556586958</v>
      </c>
      <c r="BC103">
        <f t="shared" si="96"/>
        <v>144</v>
      </c>
      <c r="BD103" s="604">
        <f t="shared" si="107"/>
        <v>0.97382762346884888</v>
      </c>
      <c r="BE103" s="614">
        <f t="shared" si="97"/>
        <v>55.021917753399784</v>
      </c>
      <c r="BF103" s="614">
        <f t="shared" si="98"/>
        <v>30.437685479317434</v>
      </c>
      <c r="BG103" s="9"/>
      <c r="BH103" s="4">
        <f t="shared" si="108"/>
        <v>97.382762346884888</v>
      </c>
      <c r="BI103" s="386">
        <f t="shared" si="109"/>
        <v>0.87012732520957947</v>
      </c>
      <c r="BJ103" s="386">
        <f t="shared" si="110"/>
        <v>2.0016156819841551</v>
      </c>
      <c r="BK103" s="386">
        <f t="shared" si="111"/>
        <v>0.71286795058634866</v>
      </c>
      <c r="BL103" s="386">
        <f t="shared" si="112"/>
        <v>0.23068808726683826</v>
      </c>
      <c r="BR103" s="18"/>
      <c r="BS103" s="19"/>
    </row>
    <row r="104" spans="7:71" x14ac:dyDescent="0.2">
      <c r="G104">
        <v>95</v>
      </c>
      <c r="H104" s="610">
        <f t="shared" si="59"/>
        <v>20.25</v>
      </c>
      <c r="I104" s="4" t="str">
        <f t="shared" si="60"/>
        <v>BUCK</v>
      </c>
      <c r="J104">
        <f t="shared" si="99"/>
        <v>1</v>
      </c>
      <c r="K104">
        <f t="shared" si="61"/>
        <v>12</v>
      </c>
      <c r="L104" s="4">
        <f t="shared" si="62"/>
        <v>7.9012345679012341</v>
      </c>
      <c r="M104" s="4">
        <f t="shared" si="63"/>
        <v>12</v>
      </c>
      <c r="N104" s="386">
        <f t="shared" si="64"/>
        <v>0.59890629618681646</v>
      </c>
      <c r="O104" s="386">
        <f t="shared" si="100"/>
        <v>0</v>
      </c>
      <c r="P104" s="4">
        <f t="shared" si="65"/>
        <v>4.1497325274683812</v>
      </c>
      <c r="Q104" s="386">
        <f t="shared" si="66"/>
        <v>12.059644411733737</v>
      </c>
      <c r="R104" s="386">
        <f t="shared" si="101"/>
        <v>0.50696717812692749</v>
      </c>
      <c r="S104" s="386">
        <f t="shared" si="67"/>
        <v>0.37275331749744722</v>
      </c>
      <c r="T104" s="386">
        <f t="shared" si="102"/>
        <v>0.87972049562437471</v>
      </c>
      <c r="U104" s="4">
        <f t="shared" si="68"/>
        <v>1.197924595899408</v>
      </c>
      <c r="V104" s="386">
        <f t="shared" si="103"/>
        <v>2.8700466749215199E-3</v>
      </c>
      <c r="W104" s="386">
        <f t="shared" si="104"/>
        <v>2.8700466749215199E-3</v>
      </c>
      <c r="X104" s="386">
        <f t="shared" si="69"/>
        <v>5.9106720600347389</v>
      </c>
      <c r="Y104" s="386">
        <f t="shared" si="105"/>
        <v>6.9872088402550603E-2</v>
      </c>
      <c r="Z104" s="603">
        <f t="shared" si="106"/>
        <v>6.9872088402550603E-2</v>
      </c>
      <c r="AA104" s="386">
        <f t="shared" si="70"/>
        <v>9.3328426089204903</v>
      </c>
      <c r="AB104" s="386">
        <f t="shared" si="71"/>
        <v>0.49648112162842639</v>
      </c>
      <c r="AC104" s="386">
        <f t="shared" si="72"/>
        <v>0.20790767045454545</v>
      </c>
      <c r="AD104">
        <f t="shared" si="73"/>
        <v>0</v>
      </c>
      <c r="AE104" s="386">
        <f t="shared" si="74"/>
        <v>0.78204267718943332</v>
      </c>
      <c r="AF104" s="386">
        <f t="shared" si="75"/>
        <v>7.6376090613868763</v>
      </c>
      <c r="AG104" s="386">
        <f t="shared" si="76"/>
        <v>0.33249851139509989</v>
      </c>
      <c r="AH104" s="386">
        <f t="shared" si="77"/>
        <v>0.24</v>
      </c>
      <c r="AI104" s="386">
        <f t="shared" si="78"/>
        <v>0.61328155201747747</v>
      </c>
      <c r="AJ104" s="386">
        <f t="shared" si="79"/>
        <v>0</v>
      </c>
      <c r="AK104" s="386">
        <f t="shared" si="80"/>
        <v>0</v>
      </c>
      <c r="AL104" s="386">
        <f t="shared" si="81"/>
        <v>0</v>
      </c>
      <c r="AM104">
        <f t="shared" si="82"/>
        <v>0</v>
      </c>
      <c r="AN104" s="386">
        <f t="shared" si="83"/>
        <v>0</v>
      </c>
      <c r="AO104" s="386">
        <f t="shared" si="84"/>
        <v>12.059644411733737</v>
      </c>
      <c r="AP104" s="386">
        <f t="shared" si="85"/>
        <v>0.27632654434117543</v>
      </c>
      <c r="AQ104" s="386">
        <f t="shared" si="86"/>
        <v>0</v>
      </c>
      <c r="AR104" s="386">
        <f t="shared" si="87"/>
        <v>0.29249115856023472</v>
      </c>
      <c r="AS104" s="386">
        <f t="shared" si="88"/>
        <v>0.27632654434117543</v>
      </c>
      <c r="AT104" s="386">
        <f t="shared" si="89"/>
        <v>0</v>
      </c>
      <c r="AU104" s="386">
        <f t="shared" si="90"/>
        <v>0.31786019999999998</v>
      </c>
      <c r="AV104" s="386">
        <f t="shared" si="91"/>
        <v>0.23333228869831571</v>
      </c>
      <c r="AW104" s="386">
        <f t="shared" si="92"/>
        <v>0.59328000000000003</v>
      </c>
      <c r="AX104" s="386">
        <f t="shared" si="93"/>
        <v>3.6000000000000004E-2</v>
      </c>
      <c r="AY104" s="386">
        <f t="shared" si="94"/>
        <v>6.6000000000000003E-2</v>
      </c>
      <c r="AZ104" s="386">
        <f t="shared" si="95"/>
        <v>4.3499999999999997E-2</v>
      </c>
      <c r="BA104" s="386">
        <f t="shared" si="113"/>
        <v>0.10200000000000001</v>
      </c>
      <c r="BB104" s="386">
        <f t="shared" si="114"/>
        <v>3.8867505071673083</v>
      </c>
      <c r="BC104">
        <f t="shared" si="96"/>
        <v>144</v>
      </c>
      <c r="BD104" s="604">
        <f t="shared" si="107"/>
        <v>0.97371806132842886</v>
      </c>
      <c r="BE104" s="614">
        <f t="shared" si="97"/>
        <v>54.995143859471661</v>
      </c>
      <c r="BF104" s="614">
        <f t="shared" si="98"/>
        <v>30.664077600873874</v>
      </c>
      <c r="BG104" s="9"/>
      <c r="BH104" s="4">
        <f t="shared" si="108"/>
        <v>97.371806132842892</v>
      </c>
      <c r="BI104" s="386">
        <f t="shared" si="109"/>
        <v>0.87972049562437471</v>
      </c>
      <c r="BJ104" s="386">
        <f t="shared" si="110"/>
        <v>2.0056755877671457</v>
      </c>
      <c r="BK104" s="386">
        <f t="shared" si="111"/>
        <v>0.71817541801747753</v>
      </c>
      <c r="BL104" s="386">
        <f t="shared" si="112"/>
        <v>0.23333228869831571</v>
      </c>
      <c r="BR104" s="18"/>
      <c r="BS104" s="19"/>
    </row>
    <row r="105" spans="7:71" x14ac:dyDescent="0.2">
      <c r="G105">
        <v>96</v>
      </c>
      <c r="H105" s="610">
        <f t="shared" si="59"/>
        <v>20.399999999999999</v>
      </c>
      <c r="I105" s="4" t="str">
        <f t="shared" si="60"/>
        <v>BUCK</v>
      </c>
      <c r="J105">
        <f t="shared" si="99"/>
        <v>1</v>
      </c>
      <c r="K105">
        <f t="shared" si="61"/>
        <v>12</v>
      </c>
      <c r="L105" s="4">
        <f t="shared" si="62"/>
        <v>7.8431372549019613</v>
      </c>
      <c r="M105" s="4">
        <f t="shared" si="63"/>
        <v>12</v>
      </c>
      <c r="N105" s="386">
        <f t="shared" si="64"/>
        <v>0.59451291079812207</v>
      </c>
      <c r="O105" s="386">
        <f t="shared" si="100"/>
        <v>0</v>
      </c>
      <c r="P105" s="4">
        <f t="shared" si="65"/>
        <v>4.195186679652382</v>
      </c>
      <c r="Q105" s="386">
        <f t="shared" si="66"/>
        <v>12.060954879545307</v>
      </c>
      <c r="R105" s="386">
        <f t="shared" si="101"/>
        <v>0.50708183369486692</v>
      </c>
      <c r="S105" s="386">
        <f t="shared" si="67"/>
        <v>0.38222771135228328</v>
      </c>
      <c r="T105" s="386">
        <f t="shared" si="102"/>
        <v>0.88930954504715021</v>
      </c>
      <c r="U105" s="4">
        <f t="shared" si="68"/>
        <v>1.2110460793990176</v>
      </c>
      <c r="V105" s="386">
        <f t="shared" si="103"/>
        <v>2.9332652128554637E-3</v>
      </c>
      <c r="W105" s="386">
        <f t="shared" si="104"/>
        <v>2.9332652128554637E-3</v>
      </c>
      <c r="X105" s="386">
        <f t="shared" si="69"/>
        <v>5.9217606986819318</v>
      </c>
      <c r="Y105" s="386">
        <f t="shared" si="105"/>
        <v>7.0134499544907844E-2</v>
      </c>
      <c r="Z105" s="603">
        <f t="shared" si="106"/>
        <v>7.0134499544907844E-2</v>
      </c>
      <c r="AA105" s="386">
        <f t="shared" si="70"/>
        <v>9.2995586548420874</v>
      </c>
      <c r="AB105" s="386">
        <f t="shared" si="71"/>
        <v>0.49294620969663572</v>
      </c>
      <c r="AC105" s="386">
        <f t="shared" si="72"/>
        <v>0.20944772727272723</v>
      </c>
      <c r="AD105">
        <f t="shared" si="73"/>
        <v>0</v>
      </c>
      <c r="AE105" s="386">
        <f t="shared" si="74"/>
        <v>0.77921627924711945</v>
      </c>
      <c r="AF105" s="386">
        <f t="shared" si="75"/>
        <v>7.6801589457236741</v>
      </c>
      <c r="AG105" s="386">
        <f t="shared" si="76"/>
        <v>0.33621359616000246</v>
      </c>
      <c r="AH105" s="386">
        <f t="shared" si="77"/>
        <v>0.24</v>
      </c>
      <c r="AI105" s="386">
        <f t="shared" si="78"/>
        <v>0.6177529868065661</v>
      </c>
      <c r="AJ105" s="386">
        <f t="shared" si="79"/>
        <v>0</v>
      </c>
      <c r="AK105" s="386">
        <f t="shared" si="80"/>
        <v>0</v>
      </c>
      <c r="AL105" s="386">
        <f t="shared" si="81"/>
        <v>0</v>
      </c>
      <c r="AM105">
        <f t="shared" si="82"/>
        <v>0</v>
      </c>
      <c r="AN105" s="386">
        <f t="shared" si="83"/>
        <v>0</v>
      </c>
      <c r="AO105" s="386">
        <f t="shared" si="84"/>
        <v>12.060954879545307</v>
      </c>
      <c r="AP105" s="386">
        <f t="shared" si="85"/>
        <v>0.27638660195221271</v>
      </c>
      <c r="AQ105" s="386">
        <f t="shared" si="86"/>
        <v>0</v>
      </c>
      <c r="AR105" s="386">
        <f t="shared" si="87"/>
        <v>0.29255844907464268</v>
      </c>
      <c r="AS105" s="386">
        <f t="shared" si="88"/>
        <v>0.27638660195221271</v>
      </c>
      <c r="AT105" s="386">
        <f t="shared" si="89"/>
        <v>0</v>
      </c>
      <c r="AU105" s="386">
        <f t="shared" si="90"/>
        <v>0.32022269999999997</v>
      </c>
      <c r="AV105" s="386">
        <f t="shared" si="91"/>
        <v>0.23593936572631752</v>
      </c>
      <c r="AW105" s="386">
        <f t="shared" si="92"/>
        <v>0.59328000000000003</v>
      </c>
      <c r="AX105" s="386">
        <f t="shared" si="93"/>
        <v>3.6000000000000004E-2</v>
      </c>
      <c r="AY105" s="386">
        <f t="shared" si="94"/>
        <v>6.6000000000000003E-2</v>
      </c>
      <c r="AZ105" s="386">
        <f t="shared" si="95"/>
        <v>4.3499999999999997E-2</v>
      </c>
      <c r="BA105" s="386">
        <f t="shared" si="113"/>
        <v>0.10200000000000001</v>
      </c>
      <c r="BB105" s="386">
        <f t="shared" si="114"/>
        <v>3.9033470906595586</v>
      </c>
      <c r="BC105">
        <f t="shared" si="96"/>
        <v>144</v>
      </c>
      <c r="BD105" s="604">
        <f t="shared" si="107"/>
        <v>0.97360879812769252</v>
      </c>
      <c r="BE105" s="614">
        <f t="shared" si="97"/>
        <v>54.971948962355974</v>
      </c>
      <c r="BF105" s="614">
        <f t="shared" si="98"/>
        <v>30.887649340328306</v>
      </c>
      <c r="BG105" s="9"/>
      <c r="BH105" s="4">
        <f t="shared" si="108"/>
        <v>97.360879812769255</v>
      </c>
      <c r="BI105" s="386">
        <f t="shared" si="109"/>
        <v>0.88930954504715021</v>
      </c>
      <c r="BJ105" s="386">
        <f t="shared" si="110"/>
        <v>2.0097504151283285</v>
      </c>
      <c r="BK105" s="386">
        <f t="shared" si="111"/>
        <v>0.7234264778065661</v>
      </c>
      <c r="BL105" s="386">
        <f t="shared" si="112"/>
        <v>0.23593936572631752</v>
      </c>
      <c r="BR105" s="18"/>
      <c r="BS105" s="19"/>
    </row>
    <row r="106" spans="7:71" x14ac:dyDescent="0.2">
      <c r="G106">
        <v>97</v>
      </c>
      <c r="H106" s="610">
        <f t="shared" si="59"/>
        <v>20.549999999999997</v>
      </c>
      <c r="I106" s="4" t="str">
        <f t="shared" si="60"/>
        <v>BUCK</v>
      </c>
      <c r="J106">
        <f t="shared" si="99"/>
        <v>1</v>
      </c>
      <c r="K106">
        <f t="shared" si="61"/>
        <v>12</v>
      </c>
      <c r="L106" s="4">
        <f t="shared" si="62"/>
        <v>7.7858880778588819</v>
      </c>
      <c r="M106" s="4">
        <f t="shared" si="63"/>
        <v>12</v>
      </c>
      <c r="N106" s="386">
        <f t="shared" si="64"/>
        <v>0.59018351296242366</v>
      </c>
      <c r="O106" s="386">
        <f t="shared" ref="O106:O137" si="115">CHOOSE(J106,0,(Vout+(Rdson3+Rdcr)*L106-H106)/(Vout+(Rdson3-Rdson4-Rs)*L106),IF(H106&gt;Vout,D_min_boost_exitBB_to_buck, (Vout-H106*D_max_buck_BB)/Vout))</f>
        <v>0</v>
      </c>
      <c r="P106" s="4">
        <f t="shared" si="65"/>
        <v>4.2399788138902146</v>
      </c>
      <c r="Q106" s="386">
        <f t="shared" si="66"/>
        <v>12.062260085152085</v>
      </c>
      <c r="R106" s="386">
        <f t="shared" si="101"/>
        <v>0.50719604325455081</v>
      </c>
      <c r="S106" s="386">
        <f t="shared" si="67"/>
        <v>0.3916959933739656</v>
      </c>
      <c r="T106" s="386">
        <f t="shared" si="102"/>
        <v>0.89889203662851647</v>
      </c>
      <c r="U106" s="4">
        <f t="shared" si="68"/>
        <v>1.2239764547789129</v>
      </c>
      <c r="V106" s="386">
        <f t="shared" si="103"/>
        <v>2.996236723706313E-3</v>
      </c>
      <c r="W106" s="386">
        <f t="shared" si="104"/>
        <v>2.996236723706313E-3</v>
      </c>
      <c r="X106" s="386">
        <f t="shared" si="69"/>
        <v>5.9322157571568566</v>
      </c>
      <c r="Y106" s="386">
        <f t="shared" si="105"/>
        <v>7.0382367578920191E-2</v>
      </c>
      <c r="Z106" s="603">
        <f t="shared" si="106"/>
        <v>7.0382367578920191E-2</v>
      </c>
      <c r="AA106" s="386">
        <f t="shared" si="70"/>
        <v>9.2666385827991071</v>
      </c>
      <c r="AB106" s="386">
        <f t="shared" si="71"/>
        <v>0.48946236655805991</v>
      </c>
      <c r="AC106" s="386">
        <f t="shared" si="72"/>
        <v>0.21098778409090904</v>
      </c>
      <c r="AD106">
        <f t="shared" si="73"/>
        <v>0</v>
      </c>
      <c r="AE106" s="386">
        <f t="shared" si="74"/>
        <v>0.77645971231423183</v>
      </c>
      <c r="AF106" s="386">
        <f t="shared" si="75"/>
        <v>7.7218862810606161</v>
      </c>
      <c r="AG106" s="386">
        <f t="shared" si="76"/>
        <v>0.33987690810450327</v>
      </c>
      <c r="AH106" s="386">
        <f t="shared" si="77"/>
        <v>0.24</v>
      </c>
      <c r="AI106" s="386">
        <f t="shared" si="78"/>
        <v>0.62216908938840854</v>
      </c>
      <c r="AJ106" s="386">
        <f t="shared" si="79"/>
        <v>0</v>
      </c>
      <c r="AK106" s="386">
        <f t="shared" si="80"/>
        <v>0</v>
      </c>
      <c r="AL106" s="386">
        <f t="shared" si="81"/>
        <v>0</v>
      </c>
      <c r="AM106">
        <f t="shared" si="82"/>
        <v>0</v>
      </c>
      <c r="AN106" s="386">
        <f t="shared" si="83"/>
        <v>0</v>
      </c>
      <c r="AO106" s="386">
        <f t="shared" si="84"/>
        <v>12.062260085152085</v>
      </c>
      <c r="AP106" s="386">
        <f t="shared" si="85"/>
        <v>0.27644642488752108</v>
      </c>
      <c r="AQ106" s="386">
        <f t="shared" si="86"/>
        <v>0</v>
      </c>
      <c r="AR106" s="386">
        <f t="shared" si="87"/>
        <v>0.29262547835179176</v>
      </c>
      <c r="AS106" s="386">
        <f t="shared" si="88"/>
        <v>0.27644642488752108</v>
      </c>
      <c r="AT106" s="386">
        <f t="shared" si="89"/>
        <v>0</v>
      </c>
      <c r="AU106" s="386">
        <f t="shared" si="90"/>
        <v>0.32258519999999996</v>
      </c>
      <c r="AV106" s="386">
        <f t="shared" si="91"/>
        <v>0.2385101109505286</v>
      </c>
      <c r="AW106" s="386">
        <f t="shared" si="92"/>
        <v>0.59328000000000003</v>
      </c>
      <c r="AX106" s="386">
        <f t="shared" si="93"/>
        <v>3.6000000000000004E-2</v>
      </c>
      <c r="AY106" s="386">
        <f t="shared" si="94"/>
        <v>6.6000000000000003E-2</v>
      </c>
      <c r="AZ106" s="386">
        <f t="shared" si="95"/>
        <v>4.3499999999999997E-2</v>
      </c>
      <c r="BA106" s="386">
        <f t="shared" si="113"/>
        <v>0.10200000000000001</v>
      </c>
      <c r="BB106" s="386">
        <f t="shared" si="114"/>
        <v>3.9199002319361034</v>
      </c>
      <c r="BC106">
        <f t="shared" si="96"/>
        <v>144</v>
      </c>
      <c r="BD106" s="604">
        <f t="shared" si="107"/>
        <v>0.97349984535015388</v>
      </c>
      <c r="BE106" s="614">
        <f t="shared" si="97"/>
        <v>54.95224561571159</v>
      </c>
      <c r="BF106" s="614">
        <f t="shared" si="98"/>
        <v>31.108454469420426</v>
      </c>
      <c r="BG106" s="9"/>
      <c r="BH106" s="4">
        <f t="shared" si="108"/>
        <v>97.349984535015395</v>
      </c>
      <c r="BI106" s="386">
        <f t="shared" si="109"/>
        <v>0.89889203662851647</v>
      </c>
      <c r="BJ106" s="386">
        <f t="shared" si="110"/>
        <v>2.0138394800544317</v>
      </c>
      <c r="BK106" s="386">
        <f t="shared" si="111"/>
        <v>0.72862220538840849</v>
      </c>
      <c r="BL106" s="386">
        <f t="shared" si="112"/>
        <v>0.2385101109505286</v>
      </c>
      <c r="BR106" s="18"/>
      <c r="BS106" s="19"/>
    </row>
    <row r="107" spans="7:71" x14ac:dyDescent="0.2">
      <c r="G107">
        <v>98</v>
      </c>
      <c r="H107" s="610">
        <f t="shared" si="59"/>
        <v>20.7</v>
      </c>
      <c r="I107" s="4" t="str">
        <f t="shared" si="60"/>
        <v>BUCK</v>
      </c>
      <c r="J107">
        <f t="shared" si="99"/>
        <v>1</v>
      </c>
      <c r="K107">
        <f t="shared" si="61"/>
        <v>12</v>
      </c>
      <c r="L107" s="4">
        <f t="shared" si="62"/>
        <v>7.729468599033817</v>
      </c>
      <c r="M107" s="4">
        <f t="shared" si="63"/>
        <v>12</v>
      </c>
      <c r="N107" s="386">
        <f t="shared" si="64"/>
        <v>0.58591671486408337</v>
      </c>
      <c r="O107" s="386">
        <f t="shared" si="115"/>
        <v>0</v>
      </c>
      <c r="P107" s="4">
        <f t="shared" si="65"/>
        <v>4.2841232885815197</v>
      </c>
      <c r="Q107" s="386">
        <f t="shared" si="66"/>
        <v>12.063559840665354</v>
      </c>
      <c r="R107" s="386">
        <f t="shared" si="101"/>
        <v>0.50730979018900169</v>
      </c>
      <c r="S107" s="386">
        <f t="shared" si="67"/>
        <v>0.40115587079970594</v>
      </c>
      <c r="T107" s="386">
        <f t="shared" si="102"/>
        <v>0.90846566098870762</v>
      </c>
      <c r="U107" s="4">
        <f t="shared" si="68"/>
        <v>1.2367198669520427</v>
      </c>
      <c r="V107" s="386">
        <f t="shared" si="103"/>
        <v>3.0589520586277565E-3</v>
      </c>
      <c r="W107" s="386">
        <f t="shared" si="104"/>
        <v>3.0589520586277565E-3</v>
      </c>
      <c r="X107" s="386">
        <f t="shared" si="69"/>
        <v>5.9420633376984329</v>
      </c>
      <c r="Y107" s="386">
        <f t="shared" si="105"/>
        <v>7.0616233418439672E-2</v>
      </c>
      <c r="Z107" s="603">
        <f t="shared" si="106"/>
        <v>7.0616233418439672E-2</v>
      </c>
      <c r="AA107" s="386">
        <f t="shared" si="70"/>
        <v>9.2340756175692515</v>
      </c>
      <c r="AB107" s="386">
        <f t="shared" si="71"/>
        <v>0.48602846931262567</v>
      </c>
      <c r="AC107" s="386">
        <f t="shared" si="72"/>
        <v>0.21252784090909085</v>
      </c>
      <c r="AD107">
        <f t="shared" si="73"/>
        <v>0</v>
      </c>
      <c r="AE107" s="386">
        <f t="shared" si="74"/>
        <v>0.77377128485715363</v>
      </c>
      <c r="AF107" s="386">
        <f t="shared" si="75"/>
        <v>7.7628167257978546</v>
      </c>
      <c r="AG107" s="386">
        <f t="shared" si="76"/>
        <v>0.34348954405446347</v>
      </c>
      <c r="AH107" s="386">
        <f t="shared" si="77"/>
        <v>0.24</v>
      </c>
      <c r="AI107" s="386">
        <f t="shared" si="78"/>
        <v>0.62653090718335114</v>
      </c>
      <c r="AJ107" s="386">
        <f t="shared" si="79"/>
        <v>0</v>
      </c>
      <c r="AK107" s="386">
        <f t="shared" si="80"/>
        <v>0</v>
      </c>
      <c r="AL107" s="386">
        <f t="shared" si="81"/>
        <v>0</v>
      </c>
      <c r="AM107">
        <f t="shared" si="82"/>
        <v>0</v>
      </c>
      <c r="AN107" s="386">
        <f t="shared" si="83"/>
        <v>0</v>
      </c>
      <c r="AO107" s="386">
        <f t="shared" si="84"/>
        <v>12.063559840665354</v>
      </c>
      <c r="AP107" s="386">
        <f t="shared" si="85"/>
        <v>0.27650600445569645</v>
      </c>
      <c r="AQ107" s="386">
        <f t="shared" si="86"/>
        <v>0</v>
      </c>
      <c r="AR107" s="386">
        <f t="shared" si="87"/>
        <v>0.29269223663301575</v>
      </c>
      <c r="AS107" s="386">
        <f t="shared" si="88"/>
        <v>0.27650600445569645</v>
      </c>
      <c r="AT107" s="386">
        <f t="shared" si="89"/>
        <v>0</v>
      </c>
      <c r="AU107" s="386">
        <f t="shared" si="90"/>
        <v>0.32494770000000001</v>
      </c>
      <c r="AV107" s="386">
        <f t="shared" si="91"/>
        <v>0.24104529407330771</v>
      </c>
      <c r="AW107" s="386">
        <f t="shared" si="92"/>
        <v>0.59328000000000003</v>
      </c>
      <c r="AX107" s="386">
        <f t="shared" si="93"/>
        <v>3.6000000000000004E-2</v>
      </c>
      <c r="AY107" s="386">
        <f t="shared" si="94"/>
        <v>6.6000000000000003E-2</v>
      </c>
      <c r="AZ107" s="386">
        <f t="shared" si="95"/>
        <v>4.3499999999999997E-2</v>
      </c>
      <c r="BA107" s="386">
        <f t="shared" si="113"/>
        <v>0.10200000000000001</v>
      </c>
      <c r="BB107" s="386">
        <f t="shared" si="114"/>
        <v>3.936408269212603</v>
      </c>
      <c r="BC107">
        <f t="shared" si="96"/>
        <v>144</v>
      </c>
      <c r="BD107" s="604">
        <f t="shared" si="107"/>
        <v>0.97339121372982662</v>
      </c>
      <c r="BE107" s="614">
        <f t="shared" si="97"/>
        <v>54.935949242857681</v>
      </c>
      <c r="BF107" s="614">
        <f t="shared" si="98"/>
        <v>31.326545359167557</v>
      </c>
      <c r="BG107" s="9"/>
      <c r="BH107" s="4">
        <f t="shared" si="108"/>
        <v>97.33912137298266</v>
      </c>
      <c r="BI107" s="386">
        <f t="shared" si="109"/>
        <v>0.90846566098870762</v>
      </c>
      <c r="BJ107" s="386">
        <f t="shared" si="110"/>
        <v>2.0179421286735204</v>
      </c>
      <c r="BK107" s="386">
        <f t="shared" si="111"/>
        <v>0.73376364818335116</v>
      </c>
      <c r="BL107" s="386">
        <f t="shared" si="112"/>
        <v>0.24104529407330771</v>
      </c>
      <c r="BR107" s="18"/>
      <c r="BS107" s="19"/>
    </row>
    <row r="108" spans="7:71" x14ac:dyDescent="0.2">
      <c r="G108">
        <v>99</v>
      </c>
      <c r="H108" s="610">
        <f t="shared" si="59"/>
        <v>20.85</v>
      </c>
      <c r="I108" s="4" t="str">
        <f t="shared" si="60"/>
        <v>BUCK</v>
      </c>
      <c r="J108">
        <f t="shared" si="99"/>
        <v>1</v>
      </c>
      <c r="K108">
        <f t="shared" si="61"/>
        <v>12</v>
      </c>
      <c r="L108" s="4">
        <f t="shared" si="62"/>
        <v>7.6738609112709826</v>
      </c>
      <c r="M108" s="4">
        <f t="shared" si="63"/>
        <v>12</v>
      </c>
      <c r="N108" s="386">
        <f t="shared" si="64"/>
        <v>0.58171116853287397</v>
      </c>
      <c r="O108" s="386">
        <f t="shared" si="115"/>
        <v>0</v>
      </c>
      <c r="P108" s="4">
        <f t="shared" si="65"/>
        <v>4.3276340498836303</v>
      </c>
      <c r="Q108" s="386">
        <f t="shared" si="66"/>
        <v>12.064853972281472</v>
      </c>
      <c r="R108" s="386">
        <f t="shared" si="101"/>
        <v>0.5074230591065958</v>
      </c>
      <c r="S108" s="386">
        <f t="shared" si="67"/>
        <v>0.41060517121709716</v>
      </c>
      <c r="T108" s="386">
        <f t="shared" si="102"/>
        <v>0.91802823032369296</v>
      </c>
      <c r="U108" s="4">
        <f t="shared" si="68"/>
        <v>1.2492803418272522</v>
      </c>
      <c r="V108" s="386">
        <f t="shared" si="103"/>
        <v>3.1214027449520325E-3</v>
      </c>
      <c r="W108" s="386">
        <f t="shared" si="104"/>
        <v>3.1214027449520325E-3</v>
      </c>
      <c r="X108" s="386">
        <f t="shared" si="69"/>
        <v>5.9513282564217063</v>
      </c>
      <c r="Y108" s="386">
        <f t="shared" si="105"/>
        <v>7.0836616031366859E-2</v>
      </c>
      <c r="Z108" s="603">
        <f t="shared" si="106"/>
        <v>7.0836616031366859E-2</v>
      </c>
      <c r="AA108" s="386">
        <f t="shared" si="70"/>
        <v>9.2018631639384711</v>
      </c>
      <c r="AB108" s="386">
        <f t="shared" si="71"/>
        <v>0.48264342842073205</v>
      </c>
      <c r="AC108" s="386">
        <f t="shared" si="72"/>
        <v>0.21406789772727272</v>
      </c>
      <c r="AD108">
        <f t="shared" si="73"/>
        <v>0</v>
      </c>
      <c r="AE108" s="386">
        <f t="shared" si="74"/>
        <v>0.77114936037076487</v>
      </c>
      <c r="AF108" s="386">
        <f t="shared" si="75"/>
        <v>7.8029747971288668</v>
      </c>
      <c r="AG108" s="386">
        <f t="shared" si="76"/>
        <v>0.34705256940238122</v>
      </c>
      <c r="AH108" s="386">
        <f t="shared" si="77"/>
        <v>0.24</v>
      </c>
      <c r="AI108" s="386">
        <f t="shared" si="78"/>
        <v>0.63083946053413809</v>
      </c>
      <c r="AJ108" s="386">
        <f t="shared" si="79"/>
        <v>0</v>
      </c>
      <c r="AK108" s="386">
        <f t="shared" si="80"/>
        <v>0</v>
      </c>
      <c r="AL108" s="386">
        <f t="shared" si="81"/>
        <v>0</v>
      </c>
      <c r="AM108">
        <f t="shared" si="82"/>
        <v>0</v>
      </c>
      <c r="AN108" s="386">
        <f t="shared" si="83"/>
        <v>0</v>
      </c>
      <c r="AO108" s="386">
        <f t="shared" si="84"/>
        <v>12.064853972281472</v>
      </c>
      <c r="AP108" s="386">
        <f t="shared" si="85"/>
        <v>0.27656533260770444</v>
      </c>
      <c r="AQ108" s="386">
        <f t="shared" si="86"/>
        <v>0</v>
      </c>
      <c r="AR108" s="386">
        <f t="shared" si="87"/>
        <v>0.29275871487854205</v>
      </c>
      <c r="AS108" s="386">
        <f t="shared" si="88"/>
        <v>0.27656533260770444</v>
      </c>
      <c r="AT108" s="386">
        <f t="shared" si="89"/>
        <v>0</v>
      </c>
      <c r="AU108" s="386">
        <f t="shared" si="90"/>
        <v>0.3273102</v>
      </c>
      <c r="AV108" s="386">
        <f t="shared" si="91"/>
        <v>0.24354566273851314</v>
      </c>
      <c r="AW108" s="386">
        <f t="shared" si="92"/>
        <v>0.59328000000000003</v>
      </c>
      <c r="AX108" s="386">
        <f t="shared" si="93"/>
        <v>3.6000000000000004E-2</v>
      </c>
      <c r="AY108" s="386">
        <f t="shared" si="94"/>
        <v>6.6000000000000003E-2</v>
      </c>
      <c r="AZ108" s="386">
        <f t="shared" si="95"/>
        <v>4.3499999999999997E-2</v>
      </c>
      <c r="BA108" s="386">
        <f t="shared" si="113"/>
        <v>0.10200000000000001</v>
      </c>
      <c r="BB108" s="386">
        <f t="shared" si="114"/>
        <v>3.95286964762197</v>
      </c>
      <c r="BC108">
        <f t="shared" si="96"/>
        <v>144</v>
      </c>
      <c r="BD108" s="604">
        <f t="shared" si="107"/>
        <v>0.97328291328828909</v>
      </c>
      <c r="BE108" s="614">
        <f t="shared" si="97"/>
        <v>54.922978018538245</v>
      </c>
      <c r="BF108" s="614">
        <f t="shared" si="98"/>
        <v>31.541973026706906</v>
      </c>
      <c r="BG108" s="9"/>
      <c r="BH108" s="4">
        <f t="shared" si="108"/>
        <v>97.328291328828911</v>
      </c>
      <c r="BI108" s="386">
        <f t="shared" si="109"/>
        <v>0.91802823032369296</v>
      </c>
      <c r="BJ108" s="386">
        <f t="shared" si="110"/>
        <v>2.0220577357834451</v>
      </c>
      <c r="BK108" s="386">
        <f t="shared" si="111"/>
        <v>0.73885182653413806</v>
      </c>
      <c r="BL108" s="386">
        <f t="shared" si="112"/>
        <v>0.24354566273851314</v>
      </c>
      <c r="BR108" s="18"/>
      <c r="BS108" s="19"/>
    </row>
    <row r="109" spans="7:71" x14ac:dyDescent="0.2">
      <c r="G109">
        <v>100</v>
      </c>
      <c r="H109" s="610">
        <f t="shared" si="59"/>
        <v>21</v>
      </c>
      <c r="I109" s="4" t="str">
        <f t="shared" si="60"/>
        <v>BUCK</v>
      </c>
      <c r="J109">
        <f t="shared" si="99"/>
        <v>1</v>
      </c>
      <c r="K109">
        <f t="shared" si="61"/>
        <v>12</v>
      </c>
      <c r="L109" s="4">
        <f t="shared" si="62"/>
        <v>7.6190476190476186</v>
      </c>
      <c r="M109" s="4">
        <f t="shared" si="63"/>
        <v>12</v>
      </c>
      <c r="N109" s="386">
        <f t="shared" si="64"/>
        <v>0.57756556442417328</v>
      </c>
      <c r="O109" s="386">
        <f t="shared" si="115"/>
        <v>0</v>
      </c>
      <c r="P109" s="4">
        <f t="shared" si="65"/>
        <v>4.3705246464009315</v>
      </c>
      <c r="Q109" s="386">
        <f t="shared" si="66"/>
        <v>12.066142319471172</v>
      </c>
      <c r="R109" s="386">
        <f t="shared" si="101"/>
        <v>0.5075358357709453</v>
      </c>
      <c r="S109" s="386">
        <f t="shared" si="67"/>
        <v>0.42004183700803671</v>
      </c>
      <c r="T109" s="386">
        <f t="shared" si="102"/>
        <v>0.92757767277898195</v>
      </c>
      <c r="U109" s="4">
        <f t="shared" si="68"/>
        <v>1.261661790549736</v>
      </c>
      <c r="V109" s="386">
        <f t="shared" si="103"/>
        <v>3.183580947466332E-3</v>
      </c>
      <c r="W109" s="386">
        <f t="shared" si="104"/>
        <v>3.183580947466332E-3</v>
      </c>
      <c r="X109" s="386">
        <f t="shared" si="69"/>
        <v>5.9600341212572241</v>
      </c>
      <c r="Y109" s="386">
        <f t="shared" si="105"/>
        <v>7.1044013453100741E-2</v>
      </c>
      <c r="Z109" s="603">
        <f t="shared" si="106"/>
        <v>7.1044013453100741E-2</v>
      </c>
      <c r="AA109" s="386">
        <f t="shared" si="70"/>
        <v>9.1699948004613212</v>
      </c>
      <c r="AB109" s="386">
        <f t="shared" si="71"/>
        <v>0.47930618645077971</v>
      </c>
      <c r="AC109" s="386">
        <f t="shared" si="72"/>
        <v>0.21560795454545453</v>
      </c>
      <c r="AD109">
        <f t="shared" si="73"/>
        <v>0</v>
      </c>
      <c r="AE109" s="386">
        <f t="shared" si="74"/>
        <v>0.76859235513083068</v>
      </c>
      <c r="AF109" s="386">
        <f t="shared" si="75"/>
        <v>7.8423839381431391</v>
      </c>
      <c r="AG109" s="386">
        <f t="shared" si="76"/>
        <v>0.35056701924949929</v>
      </c>
      <c r="AH109" s="386">
        <f t="shared" si="77"/>
        <v>0.24</v>
      </c>
      <c r="AI109" s="386">
        <f t="shared" si="78"/>
        <v>0.63509574360417098</v>
      </c>
      <c r="AJ109" s="386">
        <f t="shared" si="79"/>
        <v>0</v>
      </c>
      <c r="AK109" s="386">
        <f t="shared" si="80"/>
        <v>0</v>
      </c>
      <c r="AL109" s="386">
        <f t="shared" si="81"/>
        <v>0</v>
      </c>
      <c r="AM109">
        <f t="shared" si="82"/>
        <v>0</v>
      </c>
      <c r="AN109" s="386">
        <f t="shared" si="83"/>
        <v>0</v>
      </c>
      <c r="AO109" s="386">
        <f t="shared" si="84"/>
        <v>12.066142319471172</v>
      </c>
      <c r="AP109" s="386">
        <f t="shared" si="85"/>
        <v>0.27662440190009302</v>
      </c>
      <c r="AQ109" s="386">
        <f t="shared" si="86"/>
        <v>0</v>
      </c>
      <c r="AR109" s="386">
        <f t="shared" si="87"/>
        <v>0.29282490472636979</v>
      </c>
      <c r="AS109" s="386">
        <f t="shared" si="88"/>
        <v>0.27662440190009302</v>
      </c>
      <c r="AT109" s="386">
        <f t="shared" si="89"/>
        <v>0</v>
      </c>
      <c r="AU109" s="386">
        <f t="shared" si="90"/>
        <v>0.32967269999999999</v>
      </c>
      <c r="AV109" s="386">
        <f t="shared" si="91"/>
        <v>0.24601194333298196</v>
      </c>
      <c r="AW109" s="386">
        <f t="shared" si="92"/>
        <v>0.59328000000000003</v>
      </c>
      <c r="AX109" s="386">
        <f t="shared" si="93"/>
        <v>3.6000000000000004E-2</v>
      </c>
      <c r="AY109" s="386">
        <f t="shared" si="94"/>
        <v>6.6000000000000003E-2</v>
      </c>
      <c r="AZ109" s="386">
        <f t="shared" si="95"/>
        <v>4.3499999999999997E-2</v>
      </c>
      <c r="BA109" s="386">
        <f t="shared" si="113"/>
        <v>0.10200000000000001</v>
      </c>
      <c r="BB109" s="386">
        <f t="shared" si="114"/>
        <v>3.9692829139739025</v>
      </c>
      <c r="BC109">
        <f t="shared" si="96"/>
        <v>144</v>
      </c>
      <c r="BD109" s="604">
        <f t="shared" si="107"/>
        <v>0.97317495337000748</v>
      </c>
      <c r="BE109" s="614">
        <f t="shared" si="97"/>
        <v>54.913252756541532</v>
      </c>
      <c r="BF109" s="614">
        <f t="shared" si="98"/>
        <v>31.754787180208549</v>
      </c>
      <c r="BG109" s="9"/>
      <c r="BH109" s="4">
        <f t="shared" si="108"/>
        <v>97.31749533700075</v>
      </c>
      <c r="BI109" s="386">
        <f t="shared" si="109"/>
        <v>0.92757767277898195</v>
      </c>
      <c r="BJ109" s="386">
        <f t="shared" si="110"/>
        <v>2.0261857034613717</v>
      </c>
      <c r="BK109" s="386">
        <f t="shared" si="111"/>
        <v>0.74388773460417101</v>
      </c>
      <c r="BL109" s="386">
        <f t="shared" si="112"/>
        <v>0.24601194333298196</v>
      </c>
      <c r="BR109" s="18"/>
      <c r="BS109" s="19"/>
    </row>
    <row r="110" spans="7:71" x14ac:dyDescent="0.2">
      <c r="G110">
        <v>101</v>
      </c>
      <c r="H110" s="610">
        <f t="shared" si="59"/>
        <v>21.15</v>
      </c>
      <c r="I110" s="4" t="str">
        <f t="shared" si="60"/>
        <v>BUCK</v>
      </c>
      <c r="J110">
        <f t="shared" si="99"/>
        <v>1</v>
      </c>
      <c r="K110">
        <f t="shared" si="61"/>
        <v>12</v>
      </c>
      <c r="L110" s="4">
        <f t="shared" si="62"/>
        <v>7.5650118203309695</v>
      </c>
      <c r="M110" s="4">
        <f t="shared" si="63"/>
        <v>12</v>
      </c>
      <c r="N110" s="386">
        <f t="shared" si="64"/>
        <v>0.57347863005943966</v>
      </c>
      <c r="O110" s="386">
        <f t="shared" si="115"/>
        <v>0</v>
      </c>
      <c r="P110" s="4">
        <f t="shared" si="65"/>
        <v>4.4128082432505682</v>
      </c>
      <c r="Q110" s="386">
        <f t="shared" si="66"/>
        <v>12.067424734216287</v>
      </c>
      <c r="R110" s="386">
        <f t="shared" ref="R110:R173" si="116">(Q110^2*Rdcr*(1+Ltc*Ta-Ltc*25))/(1-Q110^2*Rdcr*Ltc*ThetaCa)</f>
        <v>0.50764810703487284</v>
      </c>
      <c r="S110" s="386">
        <f t="shared" ref="S110:S173" si="117">7.759*10^-3*Fsw^0.9458*(0.00787*P110)^2.304</f>
        <v>0.42946392004498757</v>
      </c>
      <c r="T110" s="386">
        <f t="shared" ref="T110:T173" si="118">R110+S110</f>
        <v>0.93711202707986041</v>
      </c>
      <c r="U110" s="4">
        <f t="shared" si="68"/>
        <v>1.2738680135614577</v>
      </c>
      <c r="V110" s="386">
        <f t="shared" ref="V110:V173" si="119">RCoutEsr*U110^2</f>
        <v>3.2454794319500286E-3</v>
      </c>
      <c r="W110" s="386">
        <f t="shared" ref="W110:W173" si="120">V110</f>
        <v>3.2454794319500286E-3</v>
      </c>
      <c r="X110" s="386">
        <f t="shared" si="69"/>
        <v>5.968203404158313</v>
      </c>
      <c r="Y110" s="386">
        <f t="shared" ref="Y110:Y173" si="121">RCinEsr*X110^2</f>
        <v>7.1238903746813742E-2</v>
      </c>
      <c r="Z110" s="603">
        <f t="shared" ref="Z110:Z173" si="122">Y110</f>
        <v>7.1238903746813742E-2</v>
      </c>
      <c r="AA110" s="386">
        <f t="shared" si="70"/>
        <v>9.1384642734881734</v>
      </c>
      <c r="AB110" s="386">
        <f t="shared" si="71"/>
        <v>0.47601571688357247</v>
      </c>
      <c r="AC110" s="386">
        <f t="shared" si="72"/>
        <v>0.21714801136363632</v>
      </c>
      <c r="AD110">
        <f t="shared" si="73"/>
        <v>0</v>
      </c>
      <c r="AE110" s="386">
        <f t="shared" si="74"/>
        <v>0.76609873605673817</v>
      </c>
      <c r="AF110" s="386">
        <f t="shared" si="75"/>
        <v>7.8810665799849273</v>
      </c>
      <c r="AG110" s="386">
        <f t="shared" si="76"/>
        <v>0.35403389949748532</v>
      </c>
      <c r="AH110" s="386">
        <f t="shared" si="77"/>
        <v>0.24</v>
      </c>
      <c r="AI110" s="386">
        <f t="shared" si="78"/>
        <v>0.63930072523907744</v>
      </c>
      <c r="AJ110" s="386">
        <f t="shared" si="79"/>
        <v>0</v>
      </c>
      <c r="AK110" s="386">
        <f t="shared" si="80"/>
        <v>0</v>
      </c>
      <c r="AL110" s="386">
        <f t="shared" si="81"/>
        <v>0</v>
      </c>
      <c r="AM110">
        <f t="shared" si="82"/>
        <v>0</v>
      </c>
      <c r="AN110" s="386">
        <f t="shared" si="83"/>
        <v>0</v>
      </c>
      <c r="AO110" s="386">
        <f t="shared" si="84"/>
        <v>12.067424734216287</v>
      </c>
      <c r="AP110" s="386">
        <f t="shared" si="85"/>
        <v>0.27668320546035258</v>
      </c>
      <c r="AQ110" s="386">
        <f t="shared" si="86"/>
        <v>0</v>
      </c>
      <c r="AR110" s="386">
        <f t="shared" si="87"/>
        <v>0.29289079845354643</v>
      </c>
      <c r="AS110" s="386">
        <f t="shared" si="88"/>
        <v>0.27668320546035258</v>
      </c>
      <c r="AT110" s="386">
        <f t="shared" si="89"/>
        <v>0</v>
      </c>
      <c r="AU110" s="386">
        <f t="shared" si="90"/>
        <v>0.33203519999999997</v>
      </c>
      <c r="AV110" s="386">
        <f t="shared" si="91"/>
        <v>0.24844484175262127</v>
      </c>
      <c r="AW110" s="386">
        <f t="shared" si="92"/>
        <v>0.59328000000000003</v>
      </c>
      <c r="AX110" s="386">
        <f t="shared" si="93"/>
        <v>3.6000000000000004E-2</v>
      </c>
      <c r="AY110" s="386">
        <f t="shared" si="94"/>
        <v>6.6000000000000003E-2</v>
      </c>
      <c r="AZ110" s="386">
        <f t="shared" si="95"/>
        <v>4.3499999999999997E-2</v>
      </c>
      <c r="BA110" s="386">
        <f t="shared" ref="BA110:BA173" si="123">SUM(AX110:AY110)</f>
        <v>0.10200000000000001</v>
      </c>
      <c r="BB110" s="386">
        <f t="shared" ref="BB110:BB173" si="124">SUM(T110,W110,Z110,AE110,AI110,AN110,AR110, AT110,AU110,BA110,AV110,AW110)</f>
        <v>3.9856467117606078</v>
      </c>
      <c r="BC110">
        <f t="shared" si="96"/>
        <v>144</v>
      </c>
      <c r="BD110" s="604">
        <f t="shared" ref="BD110:BD173" si="125">BC110/(BC110+BB110)</f>
        <v>0.97306734267598494</v>
      </c>
      <c r="BE110" s="614">
        <f t="shared" si="97"/>
        <v>54.906696802836905</v>
      </c>
      <c r="BF110" s="614">
        <f t="shared" si="98"/>
        <v>31.965036261953873</v>
      </c>
      <c r="BG110" s="9"/>
      <c r="BH110" s="4">
        <f t="shared" ref="BH110:BH173" si="126">BD110*100</f>
        <v>97.3067342675985</v>
      </c>
      <c r="BI110" s="386">
        <f t="shared" ref="BI110:BI173" si="127">T110</f>
        <v>0.93711202707986041</v>
      </c>
      <c r="BJ110" s="386">
        <f t="shared" ref="BJ110:BJ173" si="128">AE110+AI110+AN110+AR110+AU110</f>
        <v>2.0303254597493621</v>
      </c>
      <c r="BK110" s="386">
        <f t="shared" ref="BK110:BK173" si="129">AI110+AU110*0.33</f>
        <v>0.74887234123907742</v>
      </c>
      <c r="BL110" s="386">
        <f t="shared" ref="BL110:BL173" si="130">AV110</f>
        <v>0.24844484175262127</v>
      </c>
    </row>
    <row r="111" spans="7:71" x14ac:dyDescent="0.2">
      <c r="G111">
        <v>102</v>
      </c>
      <c r="H111" s="610">
        <f t="shared" si="59"/>
        <v>21.3</v>
      </c>
      <c r="I111" s="4" t="str">
        <f t="shared" si="60"/>
        <v>BUCK</v>
      </c>
      <c r="J111">
        <f t="shared" si="99"/>
        <v>1</v>
      </c>
      <c r="K111">
        <f t="shared" si="61"/>
        <v>12</v>
      </c>
      <c r="L111" s="4">
        <f t="shared" si="62"/>
        <v>7.5117370892018771</v>
      </c>
      <c r="M111" s="4">
        <f t="shared" si="63"/>
        <v>12</v>
      </c>
      <c r="N111" s="386">
        <f t="shared" si="64"/>
        <v>0.56944912872400222</v>
      </c>
      <c r="O111" s="386">
        <f t="shared" si="115"/>
        <v>0</v>
      </c>
      <c r="P111" s="4">
        <f t="shared" si="65"/>
        <v>4.4544976355351444</v>
      </c>
      <c r="Q111" s="386">
        <f t="shared" si="66"/>
        <v>12.068701080290939</v>
      </c>
      <c r="R111" s="386">
        <f t="shared" si="116"/>
        <v>0.50775986077822266</v>
      </c>
      <c r="S111" s="386">
        <f t="shared" si="117"/>
        <v>0.43886957662884918</v>
      </c>
      <c r="T111" s="386">
        <f t="shared" si="118"/>
        <v>0.94662943740707184</v>
      </c>
      <c r="U111" s="4">
        <f t="shared" si="68"/>
        <v>1.2859027044903837</v>
      </c>
      <c r="V111" s="386">
        <f t="shared" si="119"/>
        <v>3.3070915308313661E-3</v>
      </c>
      <c r="W111" s="386">
        <f t="shared" si="120"/>
        <v>3.3070915308313661E-3</v>
      </c>
      <c r="X111" s="386">
        <f t="shared" si="69"/>
        <v>5.9758575080774516</v>
      </c>
      <c r="Y111" s="386">
        <f t="shared" si="121"/>
        <v>7.1421745913691298E-2</v>
      </c>
      <c r="Z111" s="603">
        <f t="shared" si="122"/>
        <v>7.1421745913691298E-2</v>
      </c>
      <c r="AA111" s="386">
        <f t="shared" si="70"/>
        <v>9.107265491445693</v>
      </c>
      <c r="AB111" s="386">
        <f t="shared" si="71"/>
        <v>0.47277102297056212</v>
      </c>
      <c r="AC111" s="386">
        <f t="shared" si="72"/>
        <v>0.21868806818181818</v>
      </c>
      <c r="AD111">
        <f t="shared" si="73"/>
        <v>0</v>
      </c>
      <c r="AE111" s="386">
        <f t="shared" si="74"/>
        <v>0.76366701867826048</v>
      </c>
      <c r="AF111" s="386">
        <f t="shared" si="75"/>
        <v>7.919044199506537</v>
      </c>
      <c r="AG111" s="386">
        <f t="shared" si="76"/>
        <v>0.35745418789230737</v>
      </c>
      <c r="AH111" s="386">
        <f t="shared" si="77"/>
        <v>0.24</v>
      </c>
      <c r="AI111" s="386">
        <f t="shared" si="78"/>
        <v>0.64345534979337793</v>
      </c>
      <c r="AJ111" s="386">
        <f t="shared" si="79"/>
        <v>0</v>
      </c>
      <c r="AK111" s="386">
        <f t="shared" si="80"/>
        <v>0</v>
      </c>
      <c r="AL111" s="386">
        <f t="shared" si="81"/>
        <v>0</v>
      </c>
      <c r="AM111">
        <f t="shared" si="82"/>
        <v>0</v>
      </c>
      <c r="AN111" s="386">
        <f t="shared" si="83"/>
        <v>0</v>
      </c>
      <c r="AO111" s="386">
        <f t="shared" si="84"/>
        <v>12.068701080290939</v>
      </c>
      <c r="AP111" s="386">
        <f t="shared" si="85"/>
        <v>0.27674173695428983</v>
      </c>
      <c r="AQ111" s="386">
        <f t="shared" si="86"/>
        <v>0</v>
      </c>
      <c r="AR111" s="386">
        <f t="shared" si="87"/>
        <v>0.29295638893969539</v>
      </c>
      <c r="AS111" s="386">
        <f t="shared" si="88"/>
        <v>0.27674173695428983</v>
      </c>
      <c r="AT111" s="386">
        <f t="shared" si="89"/>
        <v>0</v>
      </c>
      <c r="AU111" s="386">
        <f t="shared" si="90"/>
        <v>0.33439770000000002</v>
      </c>
      <c r="AV111" s="386">
        <f t="shared" si="91"/>
        <v>0.25084504413495251</v>
      </c>
      <c r="AW111" s="386">
        <f t="shared" si="92"/>
        <v>0.59328000000000003</v>
      </c>
      <c r="AX111" s="386">
        <f t="shared" si="93"/>
        <v>3.6000000000000004E-2</v>
      </c>
      <c r="AY111" s="386">
        <f t="shared" si="94"/>
        <v>6.6000000000000003E-2</v>
      </c>
      <c r="AZ111" s="386">
        <f t="shared" si="95"/>
        <v>4.3499999999999997E-2</v>
      </c>
      <c r="BA111" s="386">
        <f t="shared" si="123"/>
        <v>0.10200000000000001</v>
      </c>
      <c r="BB111" s="386">
        <f t="shared" si="124"/>
        <v>4.0019597763978805</v>
      </c>
      <c r="BC111">
        <f t="shared" si="96"/>
        <v>144</v>
      </c>
      <c r="BD111" s="604">
        <f t="shared" si="125"/>
        <v>0.97296008929581701</v>
      </c>
      <c r="BE111" s="614">
        <f t="shared" si="97"/>
        <v>54.903235933913017</v>
      </c>
      <c r="BF111" s="614">
        <f t="shared" si="98"/>
        <v>32.1727674896689</v>
      </c>
      <c r="BG111" s="9"/>
      <c r="BH111" s="4">
        <f t="shared" si="126"/>
        <v>97.296008929581703</v>
      </c>
      <c r="BI111" s="386">
        <f t="shared" si="127"/>
        <v>0.94662943740707184</v>
      </c>
      <c r="BJ111" s="386">
        <f t="shared" si="128"/>
        <v>2.0344764574113334</v>
      </c>
      <c r="BK111" s="386">
        <f t="shared" si="129"/>
        <v>0.75380659079337797</v>
      </c>
      <c r="BL111" s="386">
        <f t="shared" si="130"/>
        <v>0.25084504413495251</v>
      </c>
    </row>
    <row r="112" spans="7:71" x14ac:dyDescent="0.2">
      <c r="G112">
        <v>103</v>
      </c>
      <c r="H112" s="610">
        <f t="shared" si="59"/>
        <v>21.450000000000003</v>
      </c>
      <c r="I112" s="4" t="str">
        <f t="shared" si="60"/>
        <v>BUCK</v>
      </c>
      <c r="J112">
        <f t="shared" si="99"/>
        <v>1</v>
      </c>
      <c r="K112">
        <f t="shared" si="61"/>
        <v>12</v>
      </c>
      <c r="L112" s="4">
        <f t="shared" si="62"/>
        <v>7.459207459207458</v>
      </c>
      <c r="M112" s="4">
        <f t="shared" si="63"/>
        <v>12</v>
      </c>
      <c r="N112" s="386">
        <f t="shared" si="64"/>
        <v>0.56547585821936919</v>
      </c>
      <c r="O112" s="386">
        <f t="shared" si="115"/>
        <v>0</v>
      </c>
      <c r="P112" s="4">
        <f t="shared" si="65"/>
        <v>4.495605261251419</v>
      </c>
      <c r="Q112" s="386">
        <f t="shared" si="66"/>
        <v>12.069971232584441</v>
      </c>
      <c r="R112" s="386">
        <f t="shared" si="116"/>
        <v>0.50787108584927021</v>
      </c>
      <c r="S112" s="386">
        <f t="shared" si="117"/>
        <v>0.44825706265802751</v>
      </c>
      <c r="T112" s="386">
        <f t="shared" si="118"/>
        <v>0.95612814850729766</v>
      </c>
      <c r="U112" s="4">
        <f t="shared" si="68"/>
        <v>1.2977694538769025</v>
      </c>
      <c r="V112" s="386">
        <f t="shared" si="119"/>
        <v>3.3684111108319074E-3</v>
      </c>
      <c r="W112" s="386">
        <f t="shared" si="120"/>
        <v>3.3684111108319074E-3</v>
      </c>
      <c r="X112" s="386">
        <f t="shared" si="69"/>
        <v>5.9830168291619126</v>
      </c>
      <c r="Y112" s="386">
        <f t="shared" si="121"/>
        <v>7.1592980756069333E-2</v>
      </c>
      <c r="Z112" s="603">
        <f t="shared" si="122"/>
        <v>7.1592980756069333E-2</v>
      </c>
      <c r="AA112" s="386">
        <f t="shared" si="70"/>
        <v>9.0763925193578885</v>
      </c>
      <c r="AB112" s="386">
        <f t="shared" si="71"/>
        <v>0.4695711366430983</v>
      </c>
      <c r="AC112" s="386">
        <f t="shared" si="72"/>
        <v>0.220228125</v>
      </c>
      <c r="AD112">
        <f t="shared" si="73"/>
        <v>0</v>
      </c>
      <c r="AE112" s="386">
        <f t="shared" si="74"/>
        <v>0.76129576520044873</v>
      </c>
      <c r="AF112" s="386">
        <f t="shared" si="75"/>
        <v>7.9563373728091831</v>
      </c>
      <c r="AG112" s="386">
        <f t="shared" si="76"/>
        <v>0.36082883502277274</v>
      </c>
      <c r="AH112" s="386">
        <f t="shared" si="77"/>
        <v>0.24</v>
      </c>
      <c r="AI112" s="386">
        <f t="shared" si="78"/>
        <v>0.64756053792393553</v>
      </c>
      <c r="AJ112" s="386">
        <f t="shared" si="79"/>
        <v>0</v>
      </c>
      <c r="AK112" s="386">
        <f t="shared" si="80"/>
        <v>0</v>
      </c>
      <c r="AL112" s="386">
        <f t="shared" si="81"/>
        <v>0</v>
      </c>
      <c r="AM112">
        <f t="shared" si="82"/>
        <v>0</v>
      </c>
      <c r="AN112" s="386">
        <f t="shared" si="83"/>
        <v>0</v>
      </c>
      <c r="AO112" s="386">
        <f t="shared" si="84"/>
        <v>12.069971232584441</v>
      </c>
      <c r="AP112" s="386">
        <f t="shared" si="85"/>
        <v>0.27679999055529037</v>
      </c>
      <c r="AQ112" s="386">
        <f t="shared" si="86"/>
        <v>0</v>
      </c>
      <c r="AR112" s="386">
        <f t="shared" si="87"/>
        <v>0.29302166963265314</v>
      </c>
      <c r="AS112" s="386">
        <f t="shared" si="88"/>
        <v>0.27679999055529037</v>
      </c>
      <c r="AT112" s="386">
        <f t="shared" si="89"/>
        <v>0</v>
      </c>
      <c r="AU112" s="386">
        <f t="shared" si="90"/>
        <v>0.33676020000000007</v>
      </c>
      <c r="AV112" s="386">
        <f t="shared" si="91"/>
        <v>0.25321321755984055</v>
      </c>
      <c r="AW112" s="386">
        <f t="shared" si="92"/>
        <v>0.59328000000000003</v>
      </c>
      <c r="AX112" s="386">
        <f t="shared" si="93"/>
        <v>3.6000000000000004E-2</v>
      </c>
      <c r="AY112" s="386">
        <f t="shared" si="94"/>
        <v>6.6000000000000003E-2</v>
      </c>
      <c r="AZ112" s="386">
        <f t="shared" si="95"/>
        <v>4.3499999999999997E-2</v>
      </c>
      <c r="BA112" s="386">
        <f t="shared" si="123"/>
        <v>0.10200000000000001</v>
      </c>
      <c r="BB112" s="386">
        <f t="shared" si="124"/>
        <v>4.0182209306910774</v>
      </c>
      <c r="BC112">
        <f t="shared" si="96"/>
        <v>144</v>
      </c>
      <c r="BD112" s="604">
        <f t="shared" si="125"/>
        <v>0.97285320073822124</v>
      </c>
      <c r="BE112" s="614">
        <f t="shared" si="97"/>
        <v>54.902798260022443</v>
      </c>
      <c r="BF112" s="614">
        <f t="shared" si="98"/>
        <v>32.378026896196779</v>
      </c>
      <c r="BG112" s="9"/>
      <c r="BH112" s="4">
        <f t="shared" si="126"/>
        <v>97.28532007382212</v>
      </c>
      <c r="BI112" s="386">
        <f t="shared" si="127"/>
        <v>0.95612814850729766</v>
      </c>
      <c r="BJ112" s="386">
        <f t="shared" si="128"/>
        <v>2.0386381727570377</v>
      </c>
      <c r="BK112" s="386">
        <f t="shared" si="129"/>
        <v>0.75869140392393553</v>
      </c>
      <c r="BL112" s="386">
        <f t="shared" si="130"/>
        <v>0.25321321755984055</v>
      </c>
    </row>
    <row r="113" spans="7:64" x14ac:dyDescent="0.2">
      <c r="G113">
        <v>104</v>
      </c>
      <c r="H113" s="610">
        <f t="shared" si="59"/>
        <v>21.6</v>
      </c>
      <c r="I113" s="4" t="str">
        <f t="shared" si="60"/>
        <v>BUCK</v>
      </c>
      <c r="J113">
        <f t="shared" si="99"/>
        <v>1</v>
      </c>
      <c r="K113">
        <f t="shared" si="61"/>
        <v>12</v>
      </c>
      <c r="L113" s="4">
        <f t="shared" si="62"/>
        <v>7.4074074074074066</v>
      </c>
      <c r="M113" s="4">
        <f t="shared" si="63"/>
        <v>12</v>
      </c>
      <c r="N113" s="386">
        <f t="shared" si="64"/>
        <v>0.56155764966740573</v>
      </c>
      <c r="O113" s="386">
        <f t="shared" si="115"/>
        <v>0</v>
      </c>
      <c r="P113" s="4">
        <f t="shared" si="65"/>
        <v>4.536143213662311</v>
      </c>
      <c r="Q113" s="386">
        <f t="shared" si="66"/>
        <v>12.071235076463298</v>
      </c>
      <c r="R113" s="386">
        <f t="shared" si="116"/>
        <v>0.50798177200950623</v>
      </c>
      <c r="S113" s="386">
        <f t="shared" si="117"/>
        <v>0.45762472901860518</v>
      </c>
      <c r="T113" s="386">
        <f t="shared" si="118"/>
        <v>0.96560650102811141</v>
      </c>
      <c r="U113" s="4">
        <f t="shared" si="68"/>
        <v>1.3094717527453148</v>
      </c>
      <c r="V113" s="386">
        <f t="shared" si="119"/>
        <v>3.429432542475774E-3</v>
      </c>
      <c r="W113" s="386">
        <f t="shared" si="120"/>
        <v>3.429432542475774E-3</v>
      </c>
      <c r="X113" s="386">
        <f t="shared" si="69"/>
        <v>5.9897008145737747</v>
      </c>
      <c r="Y113" s="386">
        <f t="shared" si="121"/>
        <v>7.1753031696211486E-2</v>
      </c>
      <c r="Z113" s="603">
        <f t="shared" si="122"/>
        <v>7.1753031696211486E-2</v>
      </c>
      <c r="AA113" s="386">
        <f t="shared" si="70"/>
        <v>9.0458395735956554</v>
      </c>
      <c r="AB113" s="386">
        <f t="shared" si="71"/>
        <v>0.46641511747000658</v>
      </c>
      <c r="AC113" s="386">
        <f t="shared" si="72"/>
        <v>0.22176818181818184</v>
      </c>
      <c r="AD113">
        <f t="shared" si="73"/>
        <v>0</v>
      </c>
      <c r="AE113" s="386">
        <f t="shared" si="74"/>
        <v>0.75898358266112775</v>
      </c>
      <c r="AF113" s="386">
        <f t="shared" si="75"/>
        <v>7.9929658250244424</v>
      </c>
      <c r="AG113" s="386">
        <f t="shared" si="76"/>
        <v>0.3641587652760494</v>
      </c>
      <c r="AH113" s="386">
        <f t="shared" si="77"/>
        <v>0.24</v>
      </c>
      <c r="AI113" s="386">
        <f t="shared" si="78"/>
        <v>0.65161718735178498</v>
      </c>
      <c r="AJ113" s="386">
        <f t="shared" si="79"/>
        <v>0</v>
      </c>
      <c r="AK113" s="386">
        <f t="shared" si="80"/>
        <v>0</v>
      </c>
      <c r="AL113" s="386">
        <f t="shared" si="81"/>
        <v>0</v>
      </c>
      <c r="AM113">
        <f t="shared" si="82"/>
        <v>0</v>
      </c>
      <c r="AN113" s="386">
        <f t="shared" si="83"/>
        <v>0</v>
      </c>
      <c r="AO113" s="386">
        <f t="shared" si="84"/>
        <v>12.071235076463298</v>
      </c>
      <c r="AP113" s="386">
        <f t="shared" si="85"/>
        <v>0.27685796091535197</v>
      </c>
      <c r="AQ113" s="386">
        <f t="shared" si="86"/>
        <v>0</v>
      </c>
      <c r="AR113" s="386">
        <f t="shared" si="87"/>
        <v>0.29308663451608524</v>
      </c>
      <c r="AS113" s="386">
        <f t="shared" si="88"/>
        <v>0.27685796091535197</v>
      </c>
      <c r="AT113" s="386">
        <f t="shared" si="89"/>
        <v>0</v>
      </c>
      <c r="AU113" s="386">
        <f t="shared" si="90"/>
        <v>0.3391227</v>
      </c>
      <c r="AV113" s="386">
        <f t="shared" si="91"/>
        <v>0.25555001072003469</v>
      </c>
      <c r="AW113" s="386">
        <f t="shared" si="92"/>
        <v>0.59328000000000003</v>
      </c>
      <c r="AX113" s="386">
        <f t="shared" si="93"/>
        <v>3.6000000000000004E-2</v>
      </c>
      <c r="AY113" s="386">
        <f t="shared" si="94"/>
        <v>6.6000000000000003E-2</v>
      </c>
      <c r="AZ113" s="386">
        <f t="shared" si="95"/>
        <v>4.3499999999999997E-2</v>
      </c>
      <c r="BA113" s="386">
        <f t="shared" si="123"/>
        <v>0.10200000000000001</v>
      </c>
      <c r="BB113" s="386">
        <f t="shared" si="124"/>
        <v>4.0344290805158307</v>
      </c>
      <c r="BC113">
        <f t="shared" si="96"/>
        <v>144</v>
      </c>
      <c r="BD113" s="604">
        <f t="shared" si="125"/>
        <v>0.9727466839601111</v>
      </c>
      <c r="BE113" s="614">
        <f t="shared" si="97"/>
        <v>54.905314133056393</v>
      </c>
      <c r="BF113" s="614">
        <f t="shared" si="98"/>
        <v>32.580859367589248</v>
      </c>
      <c r="BG113" s="9"/>
      <c r="BH113" s="4">
        <f t="shared" si="126"/>
        <v>97.274668396011108</v>
      </c>
      <c r="BI113" s="386">
        <f t="shared" si="127"/>
        <v>0.96560650102811141</v>
      </c>
      <c r="BJ113" s="386">
        <f t="shared" si="128"/>
        <v>2.0428101045289977</v>
      </c>
      <c r="BK113" s="386">
        <f t="shared" si="129"/>
        <v>0.76352767835178503</v>
      </c>
      <c r="BL113" s="386">
        <f t="shared" si="130"/>
        <v>0.25555001072003469</v>
      </c>
    </row>
    <row r="114" spans="7:64" x14ac:dyDescent="0.2">
      <c r="G114">
        <v>105</v>
      </c>
      <c r="H114" s="610">
        <f t="shared" si="59"/>
        <v>21.75</v>
      </c>
      <c r="I114" s="4" t="str">
        <f t="shared" si="60"/>
        <v>BUCK</v>
      </c>
      <c r="J114">
        <f t="shared" si="99"/>
        <v>1</v>
      </c>
      <c r="K114">
        <f t="shared" si="61"/>
        <v>12</v>
      </c>
      <c r="L114" s="4">
        <f t="shared" si="62"/>
        <v>7.3563218390804597</v>
      </c>
      <c r="M114" s="4">
        <f t="shared" si="63"/>
        <v>12</v>
      </c>
      <c r="N114" s="386">
        <f t="shared" si="64"/>
        <v>0.55769336636388656</v>
      </c>
      <c r="O114" s="386">
        <f t="shared" si="115"/>
        <v>0</v>
      </c>
      <c r="P114" s="4">
        <f t="shared" si="65"/>
        <v>4.5761232531581069</v>
      </c>
      <c r="Q114" s="386">
        <f t="shared" si="66"/>
        <v>12.072492507169947</v>
      </c>
      <c r="R114" s="386">
        <f t="shared" si="116"/>
        <v>0.50809190988159103</v>
      </c>
      <c r="S114" s="386">
        <f t="shared" si="117"/>
        <v>0.46697101718586581</v>
      </c>
      <c r="T114" s="386">
        <f t="shared" si="118"/>
        <v>0.9750629270674569</v>
      </c>
      <c r="U114" s="4">
        <f t="shared" si="68"/>
        <v>1.3210129960278696</v>
      </c>
      <c r="V114" s="386">
        <f t="shared" si="119"/>
        <v>3.4901506713490562E-3</v>
      </c>
      <c r="W114" s="386">
        <f t="shared" si="120"/>
        <v>3.4901506713490562E-3</v>
      </c>
      <c r="X114" s="386">
        <f t="shared" si="69"/>
        <v>5.9959280162994908</v>
      </c>
      <c r="Y114" s="386">
        <f t="shared" si="121"/>
        <v>7.1902305553290288E-2</v>
      </c>
      <c r="Z114" s="603">
        <f t="shared" si="122"/>
        <v>7.1902305553290288E-2</v>
      </c>
      <c r="AA114" s="386">
        <f t="shared" si="70"/>
        <v>9.0156010168435561</v>
      </c>
      <c r="AB114" s="386">
        <f t="shared" si="71"/>
        <v>0.4633020516609902</v>
      </c>
      <c r="AC114" s="386">
        <f t="shared" si="72"/>
        <v>0.22330823863636362</v>
      </c>
      <c r="AD114">
        <f t="shared" si="73"/>
        <v>0</v>
      </c>
      <c r="AE114" s="386">
        <f t="shared" si="74"/>
        <v>0.75672912117582991</v>
      </c>
      <c r="AF114" s="386">
        <f t="shared" si="75"/>
        <v>8.0289484766539587</v>
      </c>
      <c r="AG114" s="386">
        <f t="shared" si="76"/>
        <v>0.36744487775235435</v>
      </c>
      <c r="AH114" s="386">
        <f t="shared" si="77"/>
        <v>0.24</v>
      </c>
      <c r="AI114" s="386">
        <f t="shared" si="78"/>
        <v>0.6556261735938409</v>
      </c>
      <c r="AJ114" s="386">
        <f t="shared" si="79"/>
        <v>0</v>
      </c>
      <c r="AK114" s="386">
        <f t="shared" si="80"/>
        <v>0</v>
      </c>
      <c r="AL114" s="386">
        <f t="shared" si="81"/>
        <v>0</v>
      </c>
      <c r="AM114">
        <f t="shared" si="82"/>
        <v>0</v>
      </c>
      <c r="AN114" s="386">
        <f t="shared" si="83"/>
        <v>0</v>
      </c>
      <c r="AO114" s="386">
        <f t="shared" si="84"/>
        <v>12.072492507169947</v>
      </c>
      <c r="AP114" s="386">
        <f t="shared" si="85"/>
        <v>0.27691564313778161</v>
      </c>
      <c r="AQ114" s="386">
        <f t="shared" si="86"/>
        <v>0</v>
      </c>
      <c r="AR114" s="386">
        <f t="shared" si="87"/>
        <v>0.29315127807896124</v>
      </c>
      <c r="AS114" s="386">
        <f t="shared" si="88"/>
        <v>0.27691564313778161</v>
      </c>
      <c r="AT114" s="386">
        <f t="shared" si="89"/>
        <v>0</v>
      </c>
      <c r="AU114" s="386">
        <f t="shared" si="90"/>
        <v>0.34148519999999999</v>
      </c>
      <c r="AV114" s="386">
        <f t="shared" si="91"/>
        <v>0.25785605456305571</v>
      </c>
      <c r="AW114" s="386">
        <f t="shared" si="92"/>
        <v>0.59328000000000003</v>
      </c>
      <c r="AX114" s="386">
        <f t="shared" si="93"/>
        <v>3.6000000000000004E-2</v>
      </c>
      <c r="AY114" s="386">
        <f t="shared" si="94"/>
        <v>6.6000000000000003E-2</v>
      </c>
      <c r="AZ114" s="386">
        <f t="shared" si="95"/>
        <v>4.3499999999999997E-2</v>
      </c>
      <c r="BA114" s="386">
        <f t="shared" si="123"/>
        <v>0.10200000000000001</v>
      </c>
      <c r="BB114" s="386">
        <f t="shared" si="124"/>
        <v>4.0505832107037838</v>
      </c>
      <c r="BC114">
        <f t="shared" si="96"/>
        <v>144</v>
      </c>
      <c r="BD114" s="604">
        <f t="shared" si="125"/>
        <v>0.9726405453942788</v>
      </c>
      <c r="BE114" s="614">
        <f t="shared" si="97"/>
        <v>54.9107160587915</v>
      </c>
      <c r="BF114" s="614">
        <f t="shared" si="98"/>
        <v>32.781308679692046</v>
      </c>
      <c r="BG114" s="9"/>
      <c r="BH114" s="4">
        <f t="shared" si="126"/>
        <v>97.264054539427875</v>
      </c>
      <c r="BI114" s="386">
        <f t="shared" si="127"/>
        <v>0.9750629270674569</v>
      </c>
      <c r="BJ114" s="386">
        <f t="shared" si="128"/>
        <v>2.046991772848632</v>
      </c>
      <c r="BK114" s="386">
        <f t="shared" si="129"/>
        <v>0.76831628959384091</v>
      </c>
      <c r="BL114" s="386">
        <f t="shared" si="130"/>
        <v>0.25785605456305571</v>
      </c>
    </row>
    <row r="115" spans="7:64" x14ac:dyDescent="0.2">
      <c r="G115">
        <v>106</v>
      </c>
      <c r="H115" s="610">
        <f t="shared" si="59"/>
        <v>21.9</v>
      </c>
      <c r="I115" s="4" t="str">
        <f t="shared" si="60"/>
        <v>BUCK</v>
      </c>
      <c r="J115">
        <f t="shared" si="99"/>
        <v>1</v>
      </c>
      <c r="K115">
        <f t="shared" si="61"/>
        <v>12</v>
      </c>
      <c r="L115" s="4">
        <f t="shared" si="62"/>
        <v>7.3059360730593603</v>
      </c>
      <c r="M115" s="4">
        <f t="shared" si="63"/>
        <v>12</v>
      </c>
      <c r="N115" s="386">
        <f t="shared" si="64"/>
        <v>0.55388190267905968</v>
      </c>
      <c r="O115" s="386">
        <f t="shared" si="115"/>
        <v>0</v>
      </c>
      <c r="P115" s="4">
        <f t="shared" si="65"/>
        <v>4.6155568186312719</v>
      </c>
      <c r="Q115" s="386">
        <f t="shared" si="66"/>
        <v>12.073743429255947</v>
      </c>
      <c r="R115" s="386">
        <f t="shared" si="116"/>
        <v>0.50820149090028011</v>
      </c>
      <c r="S115" s="386">
        <f t="shared" si="117"/>
        <v>0.47629445502775714</v>
      </c>
      <c r="T115" s="386">
        <f t="shared" si="118"/>
        <v>0.98449594592803724</v>
      </c>
      <c r="U115" s="4">
        <f t="shared" si="68"/>
        <v>1.3323964858483888</v>
      </c>
      <c r="V115" s="386">
        <f t="shared" si="119"/>
        <v>3.5505607910022714E-3</v>
      </c>
      <c r="W115" s="386">
        <f t="shared" si="120"/>
        <v>3.5505607910022714E-3</v>
      </c>
      <c r="X115" s="386">
        <f t="shared" si="69"/>
        <v>6.0017161412787168</v>
      </c>
      <c r="Y115" s="386">
        <f t="shared" si="121"/>
        <v>7.2041193280970986E-2</v>
      </c>
      <c r="Z115" s="603">
        <f t="shared" si="122"/>
        <v>7.2041193280970986E-2</v>
      </c>
      <c r="AA115" s="386">
        <f t="shared" si="70"/>
        <v>8.9856713532731423</v>
      </c>
      <c r="AB115" s="386">
        <f t="shared" si="71"/>
        <v>0.46023105111349144</v>
      </c>
      <c r="AC115" s="386">
        <f t="shared" si="72"/>
        <v>0.22484829545454538</v>
      </c>
      <c r="AD115">
        <f t="shared" si="73"/>
        <v>0</v>
      </c>
      <c r="AE115" s="386">
        <f t="shared" si="74"/>
        <v>0.75453107226532934</v>
      </c>
      <c r="AF115" s="386">
        <f t="shared" si="75"/>
        <v>8.0643034867536798</v>
      </c>
      <c r="AG115" s="386">
        <f t="shared" si="76"/>
        <v>0.37068804714086512</v>
      </c>
      <c r="AH115" s="386">
        <f t="shared" si="77"/>
        <v>0.24</v>
      </c>
      <c r="AI115" s="386">
        <f t="shared" si="78"/>
        <v>0.65958835066590693</v>
      </c>
      <c r="AJ115" s="386">
        <f t="shared" si="79"/>
        <v>0</v>
      </c>
      <c r="AK115" s="386">
        <f t="shared" si="80"/>
        <v>0</v>
      </c>
      <c r="AL115" s="386">
        <f t="shared" si="81"/>
        <v>0</v>
      </c>
      <c r="AM115">
        <f t="shared" si="82"/>
        <v>0</v>
      </c>
      <c r="AN115" s="386">
        <f t="shared" si="83"/>
        <v>0</v>
      </c>
      <c r="AO115" s="386">
        <f t="shared" si="84"/>
        <v>12.073743429255947</v>
      </c>
      <c r="AP115" s="386">
        <f t="shared" si="85"/>
        <v>0.27697303275145219</v>
      </c>
      <c r="AQ115" s="386">
        <f t="shared" si="86"/>
        <v>0</v>
      </c>
      <c r="AR115" s="386">
        <f t="shared" si="87"/>
        <v>0.2932155952867721</v>
      </c>
      <c r="AS115" s="386">
        <f t="shared" si="88"/>
        <v>0.27697303275145219</v>
      </c>
      <c r="AT115" s="386">
        <f t="shared" si="89"/>
        <v>0</v>
      </c>
      <c r="AU115" s="386">
        <f t="shared" si="90"/>
        <v>0.34384769999999998</v>
      </c>
      <c r="AV115" s="386">
        <f t="shared" si="91"/>
        <v>0.26013196290587026</v>
      </c>
      <c r="AW115" s="386">
        <f t="shared" si="92"/>
        <v>0.59328000000000003</v>
      </c>
      <c r="AX115" s="386">
        <f t="shared" si="93"/>
        <v>3.6000000000000004E-2</v>
      </c>
      <c r="AY115" s="386">
        <f t="shared" si="94"/>
        <v>6.6000000000000003E-2</v>
      </c>
      <c r="AZ115" s="386">
        <f t="shared" si="95"/>
        <v>4.3499999999999997E-2</v>
      </c>
      <c r="BA115" s="386">
        <f t="shared" si="123"/>
        <v>0.10200000000000001</v>
      </c>
      <c r="BB115" s="386">
        <f t="shared" si="124"/>
        <v>4.066682381123889</v>
      </c>
      <c r="BC115">
        <f t="shared" si="96"/>
        <v>144</v>
      </c>
      <c r="BD115" s="604">
        <f t="shared" si="125"/>
        <v>0.97253479097575624</v>
      </c>
      <c r="BE115" s="614">
        <f t="shared" si="97"/>
        <v>54.918938613266462</v>
      </c>
      <c r="BF115" s="614">
        <f t="shared" si="98"/>
        <v>32.979417533295347</v>
      </c>
      <c r="BG115" s="9"/>
      <c r="BH115" s="4">
        <f t="shared" si="126"/>
        <v>97.253479097575621</v>
      </c>
      <c r="BI115" s="386">
        <f t="shared" si="127"/>
        <v>0.98449594592803724</v>
      </c>
      <c r="BJ115" s="386">
        <f t="shared" si="128"/>
        <v>2.0511827182180085</v>
      </c>
      <c r="BK115" s="386">
        <f t="shared" si="129"/>
        <v>0.77305809166590689</v>
      </c>
      <c r="BL115" s="386">
        <f t="shared" si="130"/>
        <v>0.26013196290587026</v>
      </c>
    </row>
    <row r="116" spans="7:64" x14ac:dyDescent="0.2">
      <c r="G116">
        <v>107</v>
      </c>
      <c r="H116" s="610">
        <f t="shared" si="59"/>
        <v>22.05</v>
      </c>
      <c r="I116" s="4" t="str">
        <f t="shared" si="60"/>
        <v>BUCK</v>
      </c>
      <c r="J116">
        <f t="shared" si="99"/>
        <v>1</v>
      </c>
      <c r="K116">
        <f t="shared" si="61"/>
        <v>12</v>
      </c>
      <c r="L116" s="4">
        <f t="shared" si="62"/>
        <v>7.2562358276643986</v>
      </c>
      <c r="M116" s="4">
        <f t="shared" si="63"/>
        <v>12</v>
      </c>
      <c r="N116" s="386">
        <f t="shared" si="64"/>
        <v>0.55012218300298665</v>
      </c>
      <c r="O116" s="386">
        <f t="shared" si="115"/>
        <v>0</v>
      </c>
      <c r="P116" s="4">
        <f t="shared" si="65"/>
        <v>4.6544550383879937</v>
      </c>
      <c r="Q116" s="386">
        <f t="shared" si="66"/>
        <v>12.074987756047538</v>
      </c>
      <c r="R116" s="386">
        <f t="shared" si="116"/>
        <v>0.50831050726614513</v>
      </c>
      <c r="S116" s="386">
        <f t="shared" si="117"/>
        <v>0.48559365280121558</v>
      </c>
      <c r="T116" s="386">
        <f t="shared" si="118"/>
        <v>0.99390416006736071</v>
      </c>
      <c r="U116" s="4">
        <f t="shared" si="68"/>
        <v>1.3436254346721592</v>
      </c>
      <c r="V116" s="386">
        <f t="shared" si="119"/>
        <v>3.6106586173958975E-3</v>
      </c>
      <c r="W116" s="386">
        <f t="shared" si="120"/>
        <v>3.6106586173958975E-3</v>
      </c>
      <c r="X116" s="386">
        <f t="shared" si="69"/>
        <v>6.0070820981506561</v>
      </c>
      <c r="Y116" s="386">
        <f t="shared" si="121"/>
        <v>7.2170070667844172E-2</v>
      </c>
      <c r="Z116" s="603">
        <f t="shared" si="122"/>
        <v>7.2170070667844172E-2</v>
      </c>
      <c r="AA116" s="386">
        <f t="shared" si="70"/>
        <v>8.9560452239127439</v>
      </c>
      <c r="AB116" s="386">
        <f t="shared" si="71"/>
        <v>0.45720125250079058</v>
      </c>
      <c r="AC116" s="386">
        <f t="shared" si="72"/>
        <v>0.22638835227272727</v>
      </c>
      <c r="AD116">
        <f t="shared" si="73"/>
        <v>0</v>
      </c>
      <c r="AE116" s="386">
        <f t="shared" si="74"/>
        <v>0.75238816726124058</v>
      </c>
      <c r="AF116" s="386">
        <f t="shared" si="75"/>
        <v>8.0990482932211041</v>
      </c>
      <c r="AG116" s="386">
        <f t="shared" si="76"/>
        <v>0.37388912455878776</v>
      </c>
      <c r="AH116" s="386">
        <f t="shared" si="77"/>
        <v>0.24</v>
      </c>
      <c r="AI116" s="386">
        <f t="shared" si="78"/>
        <v>0.66350455175832601</v>
      </c>
      <c r="AJ116" s="386">
        <f t="shared" si="79"/>
        <v>0</v>
      </c>
      <c r="AK116" s="386">
        <f t="shared" si="80"/>
        <v>0</v>
      </c>
      <c r="AL116" s="386">
        <f t="shared" si="81"/>
        <v>0</v>
      </c>
      <c r="AM116">
        <f t="shared" si="82"/>
        <v>0</v>
      </c>
      <c r="AN116" s="386">
        <f t="shared" si="83"/>
        <v>0</v>
      </c>
      <c r="AO116" s="386">
        <f t="shared" si="84"/>
        <v>12.074987756047538</v>
      </c>
      <c r="AP116" s="386">
        <f t="shared" si="85"/>
        <v>0.27703012568652607</v>
      </c>
      <c r="AQ116" s="386">
        <f t="shared" si="86"/>
        <v>0</v>
      </c>
      <c r="AR116" s="386">
        <f t="shared" si="87"/>
        <v>0.29327958155438677</v>
      </c>
      <c r="AS116" s="386">
        <f t="shared" si="88"/>
        <v>0.27703012568652607</v>
      </c>
      <c r="AT116" s="386">
        <f t="shared" si="89"/>
        <v>0</v>
      </c>
      <c r="AU116" s="386">
        <f t="shared" si="90"/>
        <v>0.34621020000000002</v>
      </c>
      <c r="AV116" s="386">
        <f t="shared" si="91"/>
        <v>0.26237833302371072</v>
      </c>
      <c r="AW116" s="386">
        <f t="shared" si="92"/>
        <v>0.59328000000000003</v>
      </c>
      <c r="AX116" s="386">
        <f t="shared" si="93"/>
        <v>3.6000000000000004E-2</v>
      </c>
      <c r="AY116" s="386">
        <f t="shared" si="94"/>
        <v>6.6000000000000003E-2</v>
      </c>
      <c r="AZ116" s="386">
        <f t="shared" si="95"/>
        <v>4.3499999999999997E-2</v>
      </c>
      <c r="BA116" s="386">
        <f t="shared" si="123"/>
        <v>0.10200000000000001</v>
      </c>
      <c r="BB116" s="386">
        <f t="shared" si="124"/>
        <v>4.0827257229502649</v>
      </c>
      <c r="BC116">
        <f t="shared" si="96"/>
        <v>144</v>
      </c>
      <c r="BD116" s="604">
        <f t="shared" si="125"/>
        <v>0.97242942616690697</v>
      </c>
      <c r="BE116" s="614">
        <f t="shared" si="97"/>
        <v>54.929918363062022</v>
      </c>
      <c r="BF116" s="614">
        <f t="shared" si="98"/>
        <v>33.175227587916304</v>
      </c>
      <c r="BG116" s="9"/>
      <c r="BH116" s="4">
        <f t="shared" si="126"/>
        <v>97.242942616690698</v>
      </c>
      <c r="BI116" s="386">
        <f t="shared" si="127"/>
        <v>0.99390416006736071</v>
      </c>
      <c r="BJ116" s="386">
        <f t="shared" si="128"/>
        <v>2.0553825005739532</v>
      </c>
      <c r="BK116" s="386">
        <f t="shared" si="129"/>
        <v>0.77775391775832603</v>
      </c>
      <c r="BL116" s="386">
        <f t="shared" si="130"/>
        <v>0.26237833302371072</v>
      </c>
    </row>
    <row r="117" spans="7:64" x14ac:dyDescent="0.2">
      <c r="G117">
        <v>108</v>
      </c>
      <c r="H117" s="610">
        <f t="shared" si="59"/>
        <v>22.200000000000003</v>
      </c>
      <c r="I117" s="4" t="str">
        <f t="shared" si="60"/>
        <v>BUCK</v>
      </c>
      <c r="J117">
        <f t="shared" si="99"/>
        <v>1</v>
      </c>
      <c r="K117">
        <f t="shared" si="61"/>
        <v>12</v>
      </c>
      <c r="L117" s="4">
        <f t="shared" si="62"/>
        <v>7.2072072072072055</v>
      </c>
      <c r="M117" s="4">
        <f t="shared" si="63"/>
        <v>12</v>
      </c>
      <c r="N117" s="386">
        <f t="shared" si="64"/>
        <v>0.54641316073354906</v>
      </c>
      <c r="O117" s="386">
        <f t="shared" si="115"/>
        <v>0</v>
      </c>
      <c r="P117" s="4">
        <f t="shared" si="65"/>
        <v>4.6928287406183307</v>
      </c>
      <c r="Q117" s="386">
        <f t="shared" si="66"/>
        <v>12.076225409141625</v>
      </c>
      <c r="R117" s="386">
        <f t="shared" si="116"/>
        <v>0.50841895190191932</v>
      </c>
      <c r="S117" s="386">
        <f t="shared" si="117"/>
        <v>0.49486729933265217</v>
      </c>
      <c r="T117" s="386">
        <f t="shared" si="118"/>
        <v>1.0032862512345715</v>
      </c>
      <c r="U117" s="4">
        <f t="shared" si="68"/>
        <v>1.3547029683284029</v>
      </c>
      <c r="V117" s="386">
        <f t="shared" si="119"/>
        <v>3.6704402647955714E-3</v>
      </c>
      <c r="W117" s="386">
        <f t="shared" si="120"/>
        <v>3.6704402647955714E-3</v>
      </c>
      <c r="X117" s="386">
        <f t="shared" si="69"/>
        <v>6.0120420408880557</v>
      </c>
      <c r="Y117" s="386">
        <f t="shared" si="121"/>
        <v>7.2289299002810836E-2</v>
      </c>
      <c r="Z117" s="603">
        <f t="shared" si="122"/>
        <v>7.2289299002810836E-2</v>
      </c>
      <c r="AA117" s="386">
        <f t="shared" si="70"/>
        <v>8.926717402204261</v>
      </c>
      <c r="AB117" s="386">
        <f t="shared" si="71"/>
        <v>0.4542118163992534</v>
      </c>
      <c r="AC117" s="386">
        <f t="shared" si="72"/>
        <v>0.22792840909090908</v>
      </c>
      <c r="AD117">
        <f t="shared" si="73"/>
        <v>0</v>
      </c>
      <c r="AE117" s="386">
        <f t="shared" si="74"/>
        <v>0.75029917578543559</v>
      </c>
      <c r="AF117" s="386">
        <f t="shared" si="75"/>
        <v>8.133199650419348</v>
      </c>
      <c r="AG117" s="386">
        <f t="shared" si="76"/>
        <v>0.37704893835541403</v>
      </c>
      <c r="AH117" s="386">
        <f t="shared" si="77"/>
        <v>0.24</v>
      </c>
      <c r="AI117" s="386">
        <f t="shared" si="78"/>
        <v>0.66737558988554679</v>
      </c>
      <c r="AJ117" s="386">
        <f t="shared" si="79"/>
        <v>0</v>
      </c>
      <c r="AK117" s="386">
        <f t="shared" si="80"/>
        <v>0</v>
      </c>
      <c r="AL117" s="386">
        <f t="shared" si="81"/>
        <v>0</v>
      </c>
      <c r="AM117">
        <f t="shared" si="82"/>
        <v>0</v>
      </c>
      <c r="AN117" s="386">
        <f t="shared" si="83"/>
        <v>0</v>
      </c>
      <c r="AO117" s="386">
        <f t="shared" si="84"/>
        <v>12.076225409141625</v>
      </c>
      <c r="AP117" s="386">
        <f t="shared" si="85"/>
        <v>0.27708691825155585</v>
      </c>
      <c r="AQ117" s="386">
        <f t="shared" si="86"/>
        <v>0</v>
      </c>
      <c r="AR117" s="386">
        <f t="shared" si="87"/>
        <v>0.29334323272044738</v>
      </c>
      <c r="AS117" s="386">
        <f t="shared" si="88"/>
        <v>0.27708691825155585</v>
      </c>
      <c r="AT117" s="386">
        <f t="shared" si="89"/>
        <v>0</v>
      </c>
      <c r="AU117" s="386">
        <f t="shared" si="90"/>
        <v>0.34857270000000001</v>
      </c>
      <c r="AV117" s="386">
        <f t="shared" si="91"/>
        <v>0.26459574621432563</v>
      </c>
      <c r="AW117" s="386">
        <f t="shared" si="92"/>
        <v>0.59328000000000003</v>
      </c>
      <c r="AX117" s="386">
        <f t="shared" si="93"/>
        <v>3.6000000000000004E-2</v>
      </c>
      <c r="AY117" s="386">
        <f t="shared" si="94"/>
        <v>6.6000000000000003E-2</v>
      </c>
      <c r="AZ117" s="386">
        <f t="shared" si="95"/>
        <v>4.3499999999999997E-2</v>
      </c>
      <c r="BA117" s="386">
        <f t="shared" si="123"/>
        <v>0.10200000000000001</v>
      </c>
      <c r="BB117" s="386">
        <f t="shared" si="124"/>
        <v>4.0987124351079336</v>
      </c>
      <c r="BC117">
        <f t="shared" si="96"/>
        <v>144</v>
      </c>
      <c r="BD117" s="604">
        <f t="shared" si="125"/>
        <v>0.97232445598131823</v>
      </c>
      <c r="BE117" s="614">
        <f t="shared" si="97"/>
        <v>54.94359378927178</v>
      </c>
      <c r="BF117" s="614">
        <f t="shared" si="98"/>
        <v>33.368779494277341</v>
      </c>
      <c r="BG117" s="9"/>
      <c r="BH117" s="4">
        <f t="shared" si="126"/>
        <v>97.232445598131818</v>
      </c>
      <c r="BI117" s="386">
        <f t="shared" si="127"/>
        <v>1.0032862512345715</v>
      </c>
      <c r="BJ117" s="386">
        <f t="shared" si="128"/>
        <v>2.0595906983914301</v>
      </c>
      <c r="BK117" s="386">
        <f t="shared" si="129"/>
        <v>0.78240458088554676</v>
      </c>
      <c r="BL117" s="386">
        <f t="shared" si="130"/>
        <v>0.26459574621432563</v>
      </c>
    </row>
    <row r="118" spans="7:64" x14ac:dyDescent="0.2">
      <c r="G118">
        <v>109</v>
      </c>
      <c r="H118" s="610">
        <f t="shared" si="59"/>
        <v>22.35</v>
      </c>
      <c r="I118" s="4" t="str">
        <f t="shared" si="60"/>
        <v>BUCK</v>
      </c>
      <c r="J118">
        <f t="shared" si="99"/>
        <v>1</v>
      </c>
      <c r="K118">
        <f t="shared" si="61"/>
        <v>12</v>
      </c>
      <c r="L118" s="4">
        <f t="shared" si="62"/>
        <v>7.1588366890380311</v>
      </c>
      <c r="M118" s="4">
        <f t="shared" si="63"/>
        <v>12</v>
      </c>
      <c r="N118" s="386">
        <f t="shared" si="64"/>
        <v>0.54275381730511651</v>
      </c>
      <c r="O118" s="386">
        <f t="shared" si="115"/>
        <v>0</v>
      </c>
      <c r="P118" s="4">
        <f t="shared" si="65"/>
        <v>4.7306884634456345</v>
      </c>
      <c r="Q118" s="386">
        <f t="shared" si="66"/>
        <v>12.077456317930313</v>
      </c>
      <c r="R118" s="386">
        <f t="shared" si="116"/>
        <v>0.50852681841130576</v>
      </c>
      <c r="S118" s="386">
        <f t="shared" si="117"/>
        <v>0.5041141583741986</v>
      </c>
      <c r="T118" s="386">
        <f t="shared" si="118"/>
        <v>1.0126409767855042</v>
      </c>
      <c r="U118" s="4">
        <f t="shared" si="68"/>
        <v>1.3656321289112971</v>
      </c>
      <c r="V118" s="386">
        <f t="shared" si="119"/>
        <v>3.7299022230296032E-3</v>
      </c>
      <c r="W118" s="386">
        <f t="shared" si="120"/>
        <v>3.7299022230296032E-3</v>
      </c>
      <c r="X118" s="386">
        <f t="shared" si="69"/>
        <v>6.0166114095639323</v>
      </c>
      <c r="Y118" s="386">
        <f t="shared" si="121"/>
        <v>7.2399225707389769E-2</v>
      </c>
      <c r="Z118" s="603">
        <f t="shared" si="122"/>
        <v>7.2399225707389769E-2</v>
      </c>
      <c r="AA118" s="386">
        <f t="shared" si="70"/>
        <v>8.8976827897379476</v>
      </c>
      <c r="AB118" s="386">
        <f t="shared" si="71"/>
        <v>0.45126192645275354</v>
      </c>
      <c r="AC118" s="386">
        <f t="shared" si="72"/>
        <v>0.22946846590909095</v>
      </c>
      <c r="AD118">
        <f t="shared" si="73"/>
        <v>0</v>
      </c>
      <c r="AE118" s="386">
        <f t="shared" si="74"/>
        <v>0.74826290429929054</v>
      </c>
      <c r="AF118" s="386">
        <f t="shared" si="75"/>
        <v>8.1667736643497086</v>
      </c>
      <c r="AG118" s="386">
        <f t="shared" si="76"/>
        <v>0.38016829488288106</v>
      </c>
      <c r="AH118" s="386">
        <f t="shared" si="77"/>
        <v>0.24</v>
      </c>
      <c r="AI118" s="386">
        <f t="shared" si="78"/>
        <v>0.67120225851079884</v>
      </c>
      <c r="AJ118" s="386">
        <f t="shared" si="79"/>
        <v>0</v>
      </c>
      <c r="AK118" s="386">
        <f t="shared" si="80"/>
        <v>0</v>
      </c>
      <c r="AL118" s="386">
        <f t="shared" si="81"/>
        <v>0</v>
      </c>
      <c r="AM118">
        <f t="shared" si="82"/>
        <v>0</v>
      </c>
      <c r="AN118" s="386">
        <f t="shared" si="83"/>
        <v>0</v>
      </c>
      <c r="AO118" s="386">
        <f t="shared" si="84"/>
        <v>12.077456317930313</v>
      </c>
      <c r="AP118" s="386">
        <f t="shared" si="85"/>
        <v>0.27714340711187818</v>
      </c>
      <c r="AQ118" s="386">
        <f t="shared" si="86"/>
        <v>0</v>
      </c>
      <c r="AR118" s="386">
        <f t="shared" si="87"/>
        <v>0.29340654502320956</v>
      </c>
      <c r="AS118" s="386">
        <f t="shared" si="88"/>
        <v>0.27714340711187818</v>
      </c>
      <c r="AT118" s="386">
        <f t="shared" si="89"/>
        <v>0</v>
      </c>
      <c r="AU118" s="386">
        <f t="shared" si="90"/>
        <v>0.3509352</v>
      </c>
      <c r="AV118" s="386">
        <f t="shared" si="91"/>
        <v>0.26678476833886389</v>
      </c>
      <c r="AW118" s="386">
        <f t="shared" si="92"/>
        <v>0.59328000000000003</v>
      </c>
      <c r="AX118" s="386">
        <f t="shared" si="93"/>
        <v>3.6000000000000004E-2</v>
      </c>
      <c r="AY118" s="386">
        <f t="shared" si="94"/>
        <v>6.6000000000000003E-2</v>
      </c>
      <c r="AZ118" s="386">
        <f t="shared" si="95"/>
        <v>4.3499999999999997E-2</v>
      </c>
      <c r="BA118" s="386">
        <f t="shared" si="123"/>
        <v>0.10200000000000001</v>
      </c>
      <c r="BB118" s="386">
        <f t="shared" si="124"/>
        <v>4.1146417808880864</v>
      </c>
      <c r="BC118">
        <f t="shared" si="96"/>
        <v>144</v>
      </c>
      <c r="BD118" s="604">
        <f t="shared" si="125"/>
        <v>0.97221988500654077</v>
      </c>
      <c r="BE118" s="614">
        <f t="shared" si="97"/>
        <v>54.959905214964522</v>
      </c>
      <c r="BF118" s="614">
        <f t="shared" si="98"/>
        <v>33.56011292553994</v>
      </c>
      <c r="BG118" s="9"/>
      <c r="BH118" s="4">
        <f t="shared" si="126"/>
        <v>97.221988500654078</v>
      </c>
      <c r="BI118" s="386">
        <f t="shared" si="127"/>
        <v>1.0126409767855042</v>
      </c>
      <c r="BJ118" s="386">
        <f t="shared" si="128"/>
        <v>2.0638069078332988</v>
      </c>
      <c r="BK118" s="386">
        <f t="shared" si="129"/>
        <v>0.78701087451079887</v>
      </c>
      <c r="BL118" s="386">
        <f t="shared" si="130"/>
        <v>0.26678476833886389</v>
      </c>
    </row>
    <row r="119" spans="7:64" x14ac:dyDescent="0.2">
      <c r="G119">
        <v>110</v>
      </c>
      <c r="H119" s="610">
        <f t="shared" si="59"/>
        <v>22.5</v>
      </c>
      <c r="I119" s="4" t="str">
        <f t="shared" si="60"/>
        <v>BUCK</v>
      </c>
      <c r="J119">
        <f t="shared" si="99"/>
        <v>1</v>
      </c>
      <c r="K119">
        <f t="shared" si="61"/>
        <v>12</v>
      </c>
      <c r="L119" s="4">
        <f t="shared" si="62"/>
        <v>7.1111111111111107</v>
      </c>
      <c r="M119" s="4">
        <f t="shared" si="63"/>
        <v>12</v>
      </c>
      <c r="N119" s="386">
        <f t="shared" si="64"/>
        <v>0.53914316125598727</v>
      </c>
      <c r="O119" s="386">
        <f t="shared" si="115"/>
        <v>0</v>
      </c>
      <c r="P119" s="4">
        <f t="shared" si="65"/>
        <v>4.7680444645748645</v>
      </c>
      <c r="Q119" s="386">
        <f t="shared" si="66"/>
        <v>12.078680419152317</v>
      </c>
      <c r="R119" s="386">
        <f t="shared" si="116"/>
        <v>0.50863410104010853</v>
      </c>
      <c r="S119" s="386">
        <f t="shared" si="117"/>
        <v>0.51333306512769727</v>
      </c>
      <c r="T119" s="386">
        <f t="shared" si="118"/>
        <v>1.0219671661678058</v>
      </c>
      <c r="U119" s="4">
        <f t="shared" si="68"/>
        <v>1.3764158775652016</v>
      </c>
      <c r="V119" s="386">
        <f t="shared" si="119"/>
        <v>3.7890413360271683E-3</v>
      </c>
      <c r="W119" s="386">
        <f t="shared" si="120"/>
        <v>3.7890413360271683E-3</v>
      </c>
      <c r="X119" s="386">
        <f t="shared" si="69"/>
        <v>6.0208049684737306</v>
      </c>
      <c r="Y119" s="386">
        <f t="shared" si="121"/>
        <v>7.2500184936795914E-2</v>
      </c>
      <c r="Z119" s="603">
        <f t="shared" si="122"/>
        <v>7.2500184936795914E-2</v>
      </c>
      <c r="AA119" s="386">
        <f t="shared" si="70"/>
        <v>8.8689364121567476</v>
      </c>
      <c r="AB119" s="386">
        <f t="shared" si="71"/>
        <v>0.44835078857241484</v>
      </c>
      <c r="AC119" s="386">
        <f t="shared" si="72"/>
        <v>0.23100852272727271</v>
      </c>
      <c r="AD119">
        <f t="shared" si="73"/>
        <v>0</v>
      </c>
      <c r="AE119" s="386">
        <f t="shared" si="74"/>
        <v>0.74627819471902179</v>
      </c>
      <c r="AF119" s="386">
        <f t="shared" si="75"/>
        <v>8.1997858255648222</v>
      </c>
      <c r="AG119" s="386">
        <f t="shared" si="76"/>
        <v>0.38324797923526249</v>
      </c>
      <c r="AH119" s="386">
        <f t="shared" si="77"/>
        <v>0.24</v>
      </c>
      <c r="AI119" s="386">
        <f t="shared" si="78"/>
        <v>0.67498533214702017</v>
      </c>
      <c r="AJ119" s="386">
        <f t="shared" si="79"/>
        <v>0</v>
      </c>
      <c r="AK119" s="386">
        <f t="shared" si="80"/>
        <v>0</v>
      </c>
      <c r="AL119" s="386">
        <f t="shared" si="81"/>
        <v>0</v>
      </c>
      <c r="AM119">
        <f t="shared" si="82"/>
        <v>0</v>
      </c>
      <c r="AN119" s="386">
        <f t="shared" si="83"/>
        <v>0</v>
      </c>
      <c r="AO119" s="386">
        <f t="shared" si="84"/>
        <v>12.078680419152317</v>
      </c>
      <c r="AP119" s="386">
        <f t="shared" si="85"/>
        <v>0.27719958926922583</v>
      </c>
      <c r="AQ119" s="386">
        <f t="shared" si="86"/>
        <v>0</v>
      </c>
      <c r="AR119" s="386">
        <f t="shared" si="87"/>
        <v>0.29346951507774371</v>
      </c>
      <c r="AS119" s="386">
        <f t="shared" si="88"/>
        <v>0.27719958926922583</v>
      </c>
      <c r="AT119" s="386">
        <f t="shared" si="89"/>
        <v>0</v>
      </c>
      <c r="AU119" s="386">
        <f t="shared" si="90"/>
        <v>0.35329769999999999</v>
      </c>
      <c r="AV119" s="386">
        <f t="shared" si="91"/>
        <v>0.26894595034053509</v>
      </c>
      <c r="AW119" s="386">
        <f t="shared" si="92"/>
        <v>0.59328000000000003</v>
      </c>
      <c r="AX119" s="386">
        <f t="shared" si="93"/>
        <v>3.6000000000000004E-2</v>
      </c>
      <c r="AY119" s="386">
        <f t="shared" si="94"/>
        <v>6.6000000000000003E-2</v>
      </c>
      <c r="AZ119" s="386">
        <f t="shared" si="95"/>
        <v>4.3499999999999997E-2</v>
      </c>
      <c r="BA119" s="386">
        <f t="shared" si="123"/>
        <v>0.10200000000000001</v>
      </c>
      <c r="BB119" s="386">
        <f t="shared" si="124"/>
        <v>4.1305130847249494</v>
      </c>
      <c r="BC119">
        <f t="shared" si="96"/>
        <v>144</v>
      </c>
      <c r="BD119" s="604">
        <f t="shared" si="125"/>
        <v>0.97211571742573755</v>
      </c>
      <c r="BE119" s="614">
        <f t="shared" si="97"/>
        <v>54.978794735951084</v>
      </c>
      <c r="BF119" s="614">
        <f t="shared" si="98"/>
        <v>33.749266607351011</v>
      </c>
      <c r="BG119" s="9"/>
      <c r="BH119" s="4">
        <f t="shared" si="126"/>
        <v>97.211571742573753</v>
      </c>
      <c r="BI119" s="386">
        <f t="shared" si="127"/>
        <v>1.0219671661678058</v>
      </c>
      <c r="BJ119" s="386">
        <f t="shared" si="128"/>
        <v>2.0680307419437858</v>
      </c>
      <c r="BK119" s="386">
        <f t="shared" si="129"/>
        <v>0.79157357314702015</v>
      </c>
      <c r="BL119" s="386">
        <f t="shared" si="130"/>
        <v>0.26894595034053509</v>
      </c>
    </row>
    <row r="120" spans="7:64" x14ac:dyDescent="0.2">
      <c r="G120">
        <v>111</v>
      </c>
      <c r="H120" s="610">
        <f t="shared" si="59"/>
        <v>22.650000000000002</v>
      </c>
      <c r="I120" s="4" t="str">
        <f t="shared" si="60"/>
        <v>BUCK</v>
      </c>
      <c r="J120">
        <f t="shared" si="99"/>
        <v>1</v>
      </c>
      <c r="K120">
        <f t="shared" si="61"/>
        <v>12</v>
      </c>
      <c r="L120" s="4">
        <f t="shared" si="62"/>
        <v>7.0640176600441498</v>
      </c>
      <c r="M120" s="4">
        <f t="shared" si="63"/>
        <v>12</v>
      </c>
      <c r="N120" s="386">
        <f t="shared" si="64"/>
        <v>0.53558022733280464</v>
      </c>
      <c r="O120" s="386">
        <f t="shared" si="115"/>
        <v>0</v>
      </c>
      <c r="P120" s="4">
        <f t="shared" si="65"/>
        <v>4.8049067305583213</v>
      </c>
      <c r="Q120" s="386">
        <f t="shared" si="66"/>
        <v>12.079897656469628</v>
      </c>
      <c r="R120" s="386">
        <f t="shared" si="116"/>
        <v>0.50874079463954025</v>
      </c>
      <c r="S120" s="386">
        <f t="shared" si="117"/>
        <v>0.52252292292870794</v>
      </c>
      <c r="T120" s="386">
        <f t="shared" si="118"/>
        <v>1.0312637175682482</v>
      </c>
      <c r="U120" s="4">
        <f t="shared" si="68"/>
        <v>1.3870570971594458</v>
      </c>
      <c r="V120" s="386">
        <f t="shared" si="119"/>
        <v>3.8478547815607765E-3</v>
      </c>
      <c r="W120" s="386">
        <f t="shared" si="120"/>
        <v>3.8478547815607765E-3</v>
      </c>
      <c r="X120" s="386">
        <f t="shared" si="69"/>
        <v>6.0246368418155214</v>
      </c>
      <c r="Y120" s="386">
        <f t="shared" si="121"/>
        <v>7.25924981515218E-2</v>
      </c>
      <c r="Z120" s="603">
        <f t="shared" si="122"/>
        <v>7.25924981515218E-2</v>
      </c>
      <c r="AA120" s="386">
        <f t="shared" si="70"/>
        <v>8.8404734152221653</v>
      </c>
      <c r="AB120" s="386">
        <f t="shared" si="71"/>
        <v>0.44547763016992425</v>
      </c>
      <c r="AC120" s="386">
        <f t="shared" si="72"/>
        <v>0.23254857954545452</v>
      </c>
      <c r="AD120">
        <f t="shared" si="73"/>
        <v>0</v>
      </c>
      <c r="AE120" s="386">
        <f t="shared" si="74"/>
        <v>0.74434392309360331</v>
      </c>
      <c r="AF120" s="386">
        <f t="shared" si="75"/>
        <v>8.2322510399969318</v>
      </c>
      <c r="AG120" s="386">
        <f t="shared" si="76"/>
        <v>0.38628875595752421</v>
      </c>
      <c r="AH120" s="386">
        <f t="shared" si="77"/>
        <v>0.24</v>
      </c>
      <c r="AI120" s="386">
        <f t="shared" si="78"/>
        <v>0.67872556693510999</v>
      </c>
      <c r="AJ120" s="386">
        <f t="shared" si="79"/>
        <v>0</v>
      </c>
      <c r="AK120" s="386">
        <f t="shared" si="80"/>
        <v>0</v>
      </c>
      <c r="AL120" s="386">
        <f t="shared" si="81"/>
        <v>0</v>
      </c>
      <c r="AM120">
        <f t="shared" si="82"/>
        <v>0</v>
      </c>
      <c r="AN120" s="386">
        <f t="shared" si="83"/>
        <v>0</v>
      </c>
      <c r="AO120" s="386">
        <f t="shared" si="84"/>
        <v>12.079897656469628</v>
      </c>
      <c r="AP120" s="386">
        <f t="shared" si="85"/>
        <v>0.2772554620424828</v>
      </c>
      <c r="AQ120" s="386">
        <f t="shared" si="86"/>
        <v>0</v>
      </c>
      <c r="AR120" s="386">
        <f t="shared" si="87"/>
        <v>0.29353213985441362</v>
      </c>
      <c r="AS120" s="386">
        <f t="shared" si="88"/>
        <v>0.2772554620424828</v>
      </c>
      <c r="AT120" s="386">
        <f t="shared" si="89"/>
        <v>0</v>
      </c>
      <c r="AU120" s="386">
        <f t="shared" si="90"/>
        <v>0.35566020000000004</v>
      </c>
      <c r="AV120" s="386">
        <f t="shared" si="91"/>
        <v>0.27107982874212222</v>
      </c>
      <c r="AW120" s="386">
        <f t="shared" si="92"/>
        <v>0.59328000000000003</v>
      </c>
      <c r="AX120" s="386">
        <f t="shared" si="93"/>
        <v>3.6000000000000004E-2</v>
      </c>
      <c r="AY120" s="386">
        <f t="shared" si="94"/>
        <v>6.6000000000000003E-2</v>
      </c>
      <c r="AZ120" s="386">
        <f t="shared" si="95"/>
        <v>4.3499999999999997E-2</v>
      </c>
      <c r="BA120" s="386">
        <f t="shared" si="123"/>
        <v>0.10200000000000001</v>
      </c>
      <c r="BB120" s="386">
        <f t="shared" si="124"/>
        <v>4.1463257291265805</v>
      </c>
      <c r="BC120">
        <f t="shared" si="96"/>
        <v>144</v>
      </c>
      <c r="BD120" s="604">
        <f t="shared" si="125"/>
        <v>0.97201195703828802</v>
      </c>
      <c r="BE120" s="614">
        <f t="shared" si="97"/>
        <v>55.000206154680164</v>
      </c>
      <c r="BF120" s="614">
        <f t="shared" si="98"/>
        <v>33.9362783467555</v>
      </c>
      <c r="BG120" s="9"/>
      <c r="BH120" s="4">
        <f t="shared" si="126"/>
        <v>97.201195703828802</v>
      </c>
      <c r="BI120" s="386">
        <f t="shared" si="127"/>
        <v>1.0312637175682482</v>
      </c>
      <c r="BJ120" s="386">
        <f t="shared" si="128"/>
        <v>2.0722618298831268</v>
      </c>
      <c r="BK120" s="386">
        <f t="shared" si="129"/>
        <v>0.79609343293511003</v>
      </c>
      <c r="BL120" s="386">
        <f t="shared" si="130"/>
        <v>0.27107982874212222</v>
      </c>
    </row>
    <row r="121" spans="7:64" x14ac:dyDescent="0.2">
      <c r="G121">
        <v>112</v>
      </c>
      <c r="H121" s="610">
        <f t="shared" si="59"/>
        <v>22.8</v>
      </c>
      <c r="I121" s="4" t="str">
        <f t="shared" si="60"/>
        <v>BUCK</v>
      </c>
      <c r="J121">
        <f t="shared" si="99"/>
        <v>1</v>
      </c>
      <c r="K121">
        <f t="shared" si="61"/>
        <v>12</v>
      </c>
      <c r="L121" s="4">
        <f t="shared" si="62"/>
        <v>7.0175438596491233</v>
      </c>
      <c r="M121" s="4">
        <f t="shared" si="63"/>
        <v>12</v>
      </c>
      <c r="N121" s="386">
        <f t="shared" si="64"/>
        <v>0.53206407563025204</v>
      </c>
      <c r="O121" s="386">
        <f t="shared" si="115"/>
        <v>0</v>
      </c>
      <c r="P121" s="4">
        <f t="shared" si="65"/>
        <v>4.8412849856964062</v>
      </c>
      <c r="Q121" s="386">
        <f t="shared" si="66"/>
        <v>12.08110798006792</v>
      </c>
      <c r="R121" s="386">
        <f t="shared" si="116"/>
        <v>0.50884689463158184</v>
      </c>
      <c r="S121" s="386">
        <f t="shared" si="117"/>
        <v>0.53168270008316931</v>
      </c>
      <c r="T121" s="386">
        <f t="shared" si="118"/>
        <v>1.040529594714751</v>
      </c>
      <c r="U121" s="4">
        <f t="shared" si="68"/>
        <v>1.3975585948577569</v>
      </c>
      <c r="V121" s="386">
        <f t="shared" si="119"/>
        <v>3.9063400521215756E-3</v>
      </c>
      <c r="W121" s="386">
        <f t="shared" si="120"/>
        <v>3.9063400521215756E-3</v>
      </c>
      <c r="X121" s="386">
        <f t="shared" si="69"/>
        <v>6.0281205471128168</v>
      </c>
      <c r="Y121" s="386">
        <f t="shared" si="121"/>
        <v>7.2676474661047458E-2</v>
      </c>
      <c r="Z121" s="603">
        <f t="shared" si="122"/>
        <v>7.2676474661047458E-2</v>
      </c>
      <c r="AA121" s="386">
        <f t="shared" si="70"/>
        <v>8.8122890610340878</v>
      </c>
      <c r="AB121" s="386">
        <f t="shared" si="71"/>
        <v>0.44264169942275994</v>
      </c>
      <c r="AC121" s="386">
        <f t="shared" si="72"/>
        <v>0.23408863636363633</v>
      </c>
      <c r="AD121">
        <f t="shared" si="73"/>
        <v>0</v>
      </c>
      <c r="AE121" s="386">
        <f t="shared" si="74"/>
        <v>0.74245899834195705</v>
      </c>
      <c r="AF121" s="386">
        <f t="shared" si="75"/>
        <v>8.2641836578599666</v>
      </c>
      <c r="AG121" s="386">
        <f t="shared" si="76"/>
        <v>0.38929136972578648</v>
      </c>
      <c r="AH121" s="386">
        <f t="shared" si="77"/>
        <v>0.24</v>
      </c>
      <c r="AI121" s="386">
        <f t="shared" si="78"/>
        <v>0.6824237012005252</v>
      </c>
      <c r="AJ121" s="386">
        <f t="shared" si="79"/>
        <v>0</v>
      </c>
      <c r="AK121" s="386">
        <f t="shared" si="80"/>
        <v>0</v>
      </c>
      <c r="AL121" s="386">
        <f t="shared" si="81"/>
        <v>0</v>
      </c>
      <c r="AM121">
        <f t="shared" si="82"/>
        <v>0</v>
      </c>
      <c r="AN121" s="386">
        <f t="shared" si="83"/>
        <v>0</v>
      </c>
      <c r="AO121" s="386">
        <f t="shared" si="84"/>
        <v>12.08110798006792</v>
      </c>
      <c r="AP121" s="386">
        <f t="shared" si="85"/>
        <v>0.27731102304951549</v>
      </c>
      <c r="AQ121" s="386">
        <f t="shared" si="86"/>
        <v>0</v>
      </c>
      <c r="AR121" s="386">
        <f t="shared" si="87"/>
        <v>0.29359441665855757</v>
      </c>
      <c r="AS121" s="386">
        <f t="shared" si="88"/>
        <v>0.27731102304951549</v>
      </c>
      <c r="AT121" s="386">
        <f t="shared" si="89"/>
        <v>0</v>
      </c>
      <c r="AU121" s="386">
        <f t="shared" si="90"/>
        <v>0.35802270000000003</v>
      </c>
      <c r="AV121" s="386">
        <f t="shared" si="91"/>
        <v>0.27318692612335893</v>
      </c>
      <c r="AW121" s="386">
        <f t="shared" si="92"/>
        <v>0.59328000000000003</v>
      </c>
      <c r="AX121" s="386">
        <f t="shared" si="93"/>
        <v>3.6000000000000004E-2</v>
      </c>
      <c r="AY121" s="386">
        <f t="shared" si="94"/>
        <v>6.6000000000000003E-2</v>
      </c>
      <c r="AZ121" s="386">
        <f t="shared" si="95"/>
        <v>4.3499999999999997E-2</v>
      </c>
      <c r="BA121" s="386">
        <f t="shared" si="123"/>
        <v>0.10200000000000001</v>
      </c>
      <c r="BB121" s="386">
        <f t="shared" si="124"/>
        <v>4.1620791517523186</v>
      </c>
      <c r="BC121">
        <f t="shared" si="96"/>
        <v>144</v>
      </c>
      <c r="BD121" s="604">
        <f t="shared" si="125"/>
        <v>0.9719086072794012</v>
      </c>
      <c r="BE121" s="614">
        <f t="shared" si="97"/>
        <v>55.024084917097852</v>
      </c>
      <c r="BF121" s="614">
        <f t="shared" si="98"/>
        <v>34.121185060026264</v>
      </c>
      <c r="BG121" s="9"/>
      <c r="BH121" s="4">
        <f t="shared" si="126"/>
        <v>97.19086072794012</v>
      </c>
      <c r="BI121" s="386">
        <f t="shared" si="127"/>
        <v>1.040529594714751</v>
      </c>
      <c r="BJ121" s="386">
        <f t="shared" si="128"/>
        <v>2.0764998162010402</v>
      </c>
      <c r="BK121" s="386">
        <f t="shared" si="129"/>
        <v>0.80057119220052519</v>
      </c>
      <c r="BL121" s="386">
        <f t="shared" si="130"/>
        <v>0.27318692612335893</v>
      </c>
    </row>
    <row r="122" spans="7:64" x14ac:dyDescent="0.2">
      <c r="G122">
        <v>113</v>
      </c>
      <c r="H122" s="610">
        <f t="shared" si="59"/>
        <v>22.95</v>
      </c>
      <c r="I122" s="4" t="str">
        <f t="shared" si="60"/>
        <v>BUCK</v>
      </c>
      <c r="J122">
        <f t="shared" si="99"/>
        <v>1</v>
      </c>
      <c r="K122">
        <f t="shared" si="61"/>
        <v>12</v>
      </c>
      <c r="L122" s="4">
        <f t="shared" si="62"/>
        <v>6.9716775599128535</v>
      </c>
      <c r="M122" s="4">
        <f t="shared" si="63"/>
        <v>12</v>
      </c>
      <c r="N122" s="386">
        <f t="shared" si="64"/>
        <v>0.52859379076441437</v>
      </c>
      <c r="O122" s="386">
        <f t="shared" si="115"/>
        <v>0</v>
      </c>
      <c r="P122" s="4">
        <f t="shared" si="65"/>
        <v>4.8771887005900609</v>
      </c>
      <c r="Q122" s="386">
        <f t="shared" si="66"/>
        <v>12.082311346279331</v>
      </c>
      <c r="R122" s="386">
        <f t="shared" si="116"/>
        <v>0.50895239697627237</v>
      </c>
      <c r="S122" s="386">
        <f t="shared" si="117"/>
        <v>0.54081142684964489</v>
      </c>
      <c r="T122" s="386">
        <f t="shared" si="118"/>
        <v>1.0497638238259173</v>
      </c>
      <c r="U122" s="4">
        <f t="shared" si="68"/>
        <v>1.4079231045871365</v>
      </c>
      <c r="V122" s="386">
        <f t="shared" si="119"/>
        <v>3.964494936860562E-3</v>
      </c>
      <c r="W122" s="386">
        <f t="shared" si="120"/>
        <v>3.964494936860562E-3</v>
      </c>
      <c r="X122" s="386">
        <f t="shared" si="69"/>
        <v>6.0312690265484834</v>
      </c>
      <c r="Y122" s="386">
        <f t="shared" si="121"/>
        <v>7.2752412141206174E-2</v>
      </c>
      <c r="Z122" s="603">
        <f t="shared" si="122"/>
        <v>7.2752412141206174E-2</v>
      </c>
      <c r="AA122" s="386">
        <f t="shared" si="70"/>
        <v>8.7843787243974401</v>
      </c>
      <c r="AB122" s="386">
        <f t="shared" si="71"/>
        <v>0.43984226456978448</v>
      </c>
      <c r="AC122" s="386">
        <f t="shared" si="72"/>
        <v>0.23562869318181817</v>
      </c>
      <c r="AD122">
        <f t="shared" si="73"/>
        <v>0</v>
      </c>
      <c r="AE122" s="386">
        <f t="shared" si="74"/>
        <v>0.74062236104633039</v>
      </c>
      <c r="AF122" s="386">
        <f t="shared" si="75"/>
        <v>8.2955975007701444</v>
      </c>
      <c r="AG122" s="386">
        <f t="shared" si="76"/>
        <v>0.39225654600026805</v>
      </c>
      <c r="AH122" s="386">
        <f t="shared" si="77"/>
        <v>0.24</v>
      </c>
      <c r="AI122" s="386">
        <f t="shared" si="78"/>
        <v>0.68608045598918976</v>
      </c>
      <c r="AJ122" s="386">
        <f t="shared" si="79"/>
        <v>0</v>
      </c>
      <c r="AK122" s="386">
        <f t="shared" si="80"/>
        <v>0</v>
      </c>
      <c r="AL122" s="386">
        <f t="shared" si="81"/>
        <v>0</v>
      </c>
      <c r="AM122">
        <f t="shared" si="82"/>
        <v>0</v>
      </c>
      <c r="AN122" s="386">
        <f t="shared" si="83"/>
        <v>0</v>
      </c>
      <c r="AO122" s="386">
        <f t="shared" si="84"/>
        <v>12.082311346279331</v>
      </c>
      <c r="AP122" s="386">
        <f t="shared" si="85"/>
        <v>0.27736627019001753</v>
      </c>
      <c r="AQ122" s="386">
        <f t="shared" si="86"/>
        <v>0</v>
      </c>
      <c r="AR122" s="386">
        <f t="shared" si="87"/>
        <v>0.2936563431113019</v>
      </c>
      <c r="AS122" s="386">
        <f t="shared" si="88"/>
        <v>0.27736627019001753</v>
      </c>
      <c r="AT122" s="386">
        <f t="shared" si="89"/>
        <v>0</v>
      </c>
      <c r="AU122" s="386">
        <f t="shared" si="90"/>
        <v>0.36038519999999996</v>
      </c>
      <c r="AV122" s="386">
        <f t="shared" si="91"/>
        <v>0.27526775157913547</v>
      </c>
      <c r="AW122" s="386">
        <f t="shared" si="92"/>
        <v>0.59328000000000003</v>
      </c>
      <c r="AX122" s="386">
        <f t="shared" si="93"/>
        <v>3.6000000000000004E-2</v>
      </c>
      <c r="AY122" s="386">
        <f t="shared" si="94"/>
        <v>6.6000000000000003E-2</v>
      </c>
      <c r="AZ122" s="386">
        <f t="shared" si="95"/>
        <v>4.3499999999999997E-2</v>
      </c>
      <c r="BA122" s="386">
        <f t="shared" si="123"/>
        <v>0.10200000000000001</v>
      </c>
      <c r="BB122" s="386">
        <f t="shared" si="124"/>
        <v>4.1777728426299419</v>
      </c>
      <c r="BC122">
        <f t="shared" si="96"/>
        <v>144</v>
      </c>
      <c r="BD122" s="604">
        <f t="shared" si="125"/>
        <v>0.9718056712387837</v>
      </c>
      <c r="BE122" s="614">
        <f t="shared" si="97"/>
        <v>55.050378052316518</v>
      </c>
      <c r="BF122" s="614">
        <f t="shared" si="98"/>
        <v>34.304022799459489</v>
      </c>
      <c r="BG122" s="9"/>
      <c r="BH122" s="4">
        <f t="shared" si="126"/>
        <v>97.180567123878376</v>
      </c>
      <c r="BI122" s="386">
        <f t="shared" si="127"/>
        <v>1.0497638238259173</v>
      </c>
      <c r="BJ122" s="386">
        <f t="shared" si="128"/>
        <v>2.0807443601468223</v>
      </c>
      <c r="BK122" s="386">
        <f t="shared" si="129"/>
        <v>0.80500757198918982</v>
      </c>
      <c r="BL122" s="386">
        <f t="shared" si="130"/>
        <v>0.27526775157913547</v>
      </c>
    </row>
    <row r="123" spans="7:64" x14ac:dyDescent="0.2">
      <c r="G123">
        <v>114</v>
      </c>
      <c r="H123" s="610">
        <f t="shared" si="59"/>
        <v>23.099999999999998</v>
      </c>
      <c r="I123" s="4" t="str">
        <f t="shared" si="60"/>
        <v>BUCK</v>
      </c>
      <c r="J123">
        <f t="shared" si="99"/>
        <v>1</v>
      </c>
      <c r="K123">
        <f t="shared" si="61"/>
        <v>12</v>
      </c>
      <c r="L123" s="4">
        <f t="shared" si="62"/>
        <v>6.9264069264069263</v>
      </c>
      <c r="M123" s="4">
        <f t="shared" si="63"/>
        <v>12</v>
      </c>
      <c r="N123" s="386">
        <f t="shared" si="64"/>
        <v>0.52516848107827896</v>
      </c>
      <c r="O123" s="386">
        <f t="shared" si="115"/>
        <v>0</v>
      </c>
      <c r="P123" s="4">
        <f t="shared" si="65"/>
        <v>4.9126271003606767</v>
      </c>
      <c r="Q123" s="386">
        <f t="shared" si="66"/>
        <v>12.083507717226258</v>
      </c>
      <c r="R123" s="386">
        <f t="shared" si="116"/>
        <v>0.50905729814081357</v>
      </c>
      <c r="S123" s="386">
        <f t="shared" si="117"/>
        <v>0.54990819256039525</v>
      </c>
      <c r="T123" s="386">
        <f t="shared" si="118"/>
        <v>1.0589654907012087</v>
      </c>
      <c r="U123" s="4">
        <f t="shared" si="68"/>
        <v>1.4181532894107438</v>
      </c>
      <c r="V123" s="386">
        <f t="shared" si="119"/>
        <v>4.0223175045330265E-3</v>
      </c>
      <c r="W123" s="386">
        <f t="shared" si="120"/>
        <v>4.0223175045330265E-3</v>
      </c>
      <c r="X123" s="386">
        <f t="shared" si="69"/>
        <v>6.0340946763635372</v>
      </c>
      <c r="Y123" s="386">
        <f t="shared" si="121"/>
        <v>7.2820597126637562E-2</v>
      </c>
      <c r="Z123" s="603">
        <f t="shared" si="122"/>
        <v>7.2820597126637562E-2</v>
      </c>
      <c r="AA123" s="386">
        <f t="shared" si="70"/>
        <v>8.7567378893288375</v>
      </c>
      <c r="AB123" s="386">
        <f t="shared" si="71"/>
        <v>0.43707861323572139</v>
      </c>
      <c r="AC123" s="386">
        <f t="shared" si="72"/>
        <v>0.23716874999999998</v>
      </c>
      <c r="AD123">
        <f t="shared" si="73"/>
        <v>0</v>
      </c>
      <c r="AE123" s="386">
        <f t="shared" si="74"/>
        <v>0.73883298229892669</v>
      </c>
      <c r="AF123" s="386">
        <f t="shared" si="75"/>
        <v>8.3265058872169941</v>
      </c>
      <c r="AG123" s="386">
        <f t="shared" si="76"/>
        <v>0.39518499165219784</v>
      </c>
      <c r="AH123" s="386">
        <f t="shared" si="77"/>
        <v>0.24</v>
      </c>
      <c r="AI123" s="386">
        <f t="shared" si="78"/>
        <v>0.68969653558363131</v>
      </c>
      <c r="AJ123" s="386">
        <f t="shared" si="79"/>
        <v>0</v>
      </c>
      <c r="AK123" s="386">
        <f t="shared" si="80"/>
        <v>0</v>
      </c>
      <c r="AL123" s="386">
        <f t="shared" si="81"/>
        <v>0</v>
      </c>
      <c r="AM123">
        <f t="shared" si="82"/>
        <v>0</v>
      </c>
      <c r="AN123" s="386">
        <f t="shared" si="83"/>
        <v>0</v>
      </c>
      <c r="AO123" s="386">
        <f t="shared" si="84"/>
        <v>12.083507717226258</v>
      </c>
      <c r="AP123" s="386">
        <f t="shared" si="85"/>
        <v>0.27742120162930645</v>
      </c>
      <c r="AQ123" s="386">
        <f t="shared" si="86"/>
        <v>0</v>
      </c>
      <c r="AR123" s="386">
        <f t="shared" si="87"/>
        <v>0.29371791713143858</v>
      </c>
      <c r="AS123" s="386">
        <f t="shared" si="88"/>
        <v>0.27742120162930645</v>
      </c>
      <c r="AT123" s="386">
        <f t="shared" si="89"/>
        <v>0</v>
      </c>
      <c r="AU123" s="386">
        <f t="shared" si="90"/>
        <v>0.36274769999999995</v>
      </c>
      <c r="AV123" s="386">
        <f t="shared" si="91"/>
        <v>0.27732280115943708</v>
      </c>
      <c r="AW123" s="386">
        <f t="shared" si="92"/>
        <v>0.59328000000000003</v>
      </c>
      <c r="AX123" s="386">
        <f t="shared" si="93"/>
        <v>3.6000000000000004E-2</v>
      </c>
      <c r="AY123" s="386">
        <f t="shared" si="94"/>
        <v>6.6000000000000003E-2</v>
      </c>
      <c r="AZ123" s="386">
        <f t="shared" si="95"/>
        <v>4.3499999999999997E-2</v>
      </c>
      <c r="BA123" s="386">
        <f t="shared" si="123"/>
        <v>0.10200000000000001</v>
      </c>
      <c r="BB123" s="386">
        <f t="shared" si="124"/>
        <v>4.1934063415058125</v>
      </c>
      <c r="BC123">
        <f t="shared" si="96"/>
        <v>144</v>
      </c>
      <c r="BD123" s="604">
        <f t="shared" si="125"/>
        <v>0.97170315167840693</v>
      </c>
      <c r="BE123" s="614">
        <f t="shared" si="97"/>
        <v>55.079034114946332</v>
      </c>
      <c r="BF123" s="614">
        <f t="shared" si="98"/>
        <v>34.484826779181567</v>
      </c>
      <c r="BG123" s="9"/>
      <c r="BH123" s="4">
        <f t="shared" si="126"/>
        <v>97.170315167840698</v>
      </c>
      <c r="BI123" s="386">
        <f t="shared" si="127"/>
        <v>1.0589654907012087</v>
      </c>
      <c r="BJ123" s="386">
        <f t="shared" si="128"/>
        <v>2.0849951350139966</v>
      </c>
      <c r="BK123" s="386">
        <f t="shared" si="129"/>
        <v>0.80940327658363131</v>
      </c>
      <c r="BL123" s="386">
        <f t="shared" si="130"/>
        <v>0.27732280115943708</v>
      </c>
    </row>
    <row r="124" spans="7:64" x14ac:dyDescent="0.2">
      <c r="G124">
        <v>115</v>
      </c>
      <c r="H124" s="610">
        <f t="shared" si="59"/>
        <v>23.25</v>
      </c>
      <c r="I124" s="4" t="str">
        <f t="shared" si="60"/>
        <v>BUCK</v>
      </c>
      <c r="J124">
        <f t="shared" si="99"/>
        <v>1</v>
      </c>
      <c r="K124">
        <f t="shared" si="61"/>
        <v>12</v>
      </c>
      <c r="L124" s="4">
        <f t="shared" si="62"/>
        <v>6.881720430107527</v>
      </c>
      <c r="M124" s="4">
        <f t="shared" si="63"/>
        <v>12</v>
      </c>
      <c r="N124" s="386">
        <f t="shared" si="64"/>
        <v>0.52178727787792945</v>
      </c>
      <c r="O124" s="386">
        <f t="shared" si="115"/>
        <v>0</v>
      </c>
      <c r="P124" s="4">
        <f t="shared" si="65"/>
        <v>4.9476091725524798</v>
      </c>
      <c r="Q124" s="386">
        <f t="shared" si="66"/>
        <v>12.084697060484958</v>
      </c>
      <c r="R124" s="386">
        <f t="shared" si="116"/>
        <v>0.50916159507038472</v>
      </c>
      <c r="S124" s="386">
        <f t="shared" si="117"/>
        <v>0.55897214287483066</v>
      </c>
      <c r="T124" s="386">
        <f t="shared" si="118"/>
        <v>1.0681337379452154</v>
      </c>
      <c r="U124" s="4">
        <f t="shared" si="68"/>
        <v>1.428251743809118</v>
      </c>
      <c r="V124" s="386">
        <f t="shared" si="119"/>
        <v>4.0798060873875729E-3</v>
      </c>
      <c r="W124" s="386">
        <f t="shared" si="120"/>
        <v>4.0798060873875729E-3</v>
      </c>
      <c r="X124" s="386">
        <f t="shared" si="69"/>
        <v>6.0366093744616194</v>
      </c>
      <c r="Y124" s="386">
        <f t="shared" si="121"/>
        <v>7.2881305479675806E-2</v>
      </c>
      <c r="Z124" s="603">
        <f t="shared" si="122"/>
        <v>7.2881305479675806E-2</v>
      </c>
      <c r="AA124" s="386">
        <f t="shared" si="70"/>
        <v>8.729362145696884</v>
      </c>
      <c r="AB124" s="386">
        <f t="shared" si="71"/>
        <v>0.43435005178313657</v>
      </c>
      <c r="AC124" s="386">
        <f t="shared" si="72"/>
        <v>0.2387088068181818</v>
      </c>
      <c r="AD124">
        <f t="shared" si="73"/>
        <v>0</v>
      </c>
      <c r="AE124" s="386">
        <f t="shared" si="74"/>
        <v>0.73708986259906417</v>
      </c>
      <c r="AF124" s="386">
        <f t="shared" si="75"/>
        <v>8.3569216565053459</v>
      </c>
      <c r="AG124" s="386">
        <f t="shared" si="76"/>
        <v>0.39807739556591798</v>
      </c>
      <c r="AH124" s="386">
        <f t="shared" si="77"/>
        <v>0.24</v>
      </c>
      <c r="AI124" s="386">
        <f t="shared" si="78"/>
        <v>0.69327262800021072</v>
      </c>
      <c r="AJ124" s="386">
        <f t="shared" si="79"/>
        <v>0</v>
      </c>
      <c r="AK124" s="386">
        <f t="shared" si="80"/>
        <v>0</v>
      </c>
      <c r="AL124" s="386">
        <f t="shared" si="81"/>
        <v>0</v>
      </c>
      <c r="AM124">
        <f t="shared" si="82"/>
        <v>0</v>
      </c>
      <c r="AN124" s="386">
        <f t="shared" si="83"/>
        <v>0</v>
      </c>
      <c r="AO124" s="386">
        <f t="shared" si="84"/>
        <v>12.084697060484958</v>
      </c>
      <c r="AP124" s="386">
        <f t="shared" si="85"/>
        <v>0.27747581578301816</v>
      </c>
      <c r="AQ124" s="386">
        <f t="shared" si="86"/>
        <v>0</v>
      </c>
      <c r="AR124" s="386">
        <f t="shared" si="87"/>
        <v>0.29377913691830576</v>
      </c>
      <c r="AS124" s="386">
        <f t="shared" si="88"/>
        <v>0.27747581578301816</v>
      </c>
      <c r="AT124" s="386">
        <f t="shared" si="89"/>
        <v>0</v>
      </c>
      <c r="AU124" s="386">
        <f t="shared" si="90"/>
        <v>0.3651102</v>
      </c>
      <c r="AV124" s="386">
        <f t="shared" si="91"/>
        <v>0.27935255829187222</v>
      </c>
      <c r="AW124" s="386">
        <f t="shared" si="92"/>
        <v>0.59328000000000003</v>
      </c>
      <c r="AX124" s="386">
        <f t="shared" si="93"/>
        <v>3.6000000000000004E-2</v>
      </c>
      <c r="AY124" s="386">
        <f t="shared" si="94"/>
        <v>6.6000000000000003E-2</v>
      </c>
      <c r="AZ124" s="386">
        <f t="shared" si="95"/>
        <v>4.3499999999999997E-2</v>
      </c>
      <c r="BA124" s="386">
        <f t="shared" si="123"/>
        <v>0.10200000000000001</v>
      </c>
      <c r="BB124" s="386">
        <f t="shared" si="124"/>
        <v>4.2089792353217312</v>
      </c>
      <c r="BC124">
        <f t="shared" si="96"/>
        <v>144</v>
      </c>
      <c r="BD124" s="604">
        <f t="shared" si="125"/>
        <v>0.9716010510494183</v>
      </c>
      <c r="BE124" s="614">
        <f t="shared" si="97"/>
        <v>55.110003129953213</v>
      </c>
      <c r="BF124" s="614">
        <f t="shared" si="98"/>
        <v>34.663631400010537</v>
      </c>
      <c r="BG124" s="9"/>
      <c r="BH124" s="4">
        <f t="shared" si="126"/>
        <v>97.160105104941834</v>
      </c>
      <c r="BI124" s="386">
        <f t="shared" si="127"/>
        <v>1.0681337379452154</v>
      </c>
      <c r="BJ124" s="386">
        <f t="shared" si="128"/>
        <v>2.0892518275175807</v>
      </c>
      <c r="BK124" s="386">
        <f t="shared" si="129"/>
        <v>0.81375899400021068</v>
      </c>
      <c r="BL124" s="386">
        <f t="shared" si="130"/>
        <v>0.27935255829187222</v>
      </c>
    </row>
    <row r="125" spans="7:64" x14ac:dyDescent="0.2">
      <c r="G125">
        <v>116</v>
      </c>
      <c r="H125" s="610">
        <f t="shared" si="59"/>
        <v>23.4</v>
      </c>
      <c r="I125" s="4" t="str">
        <f t="shared" si="60"/>
        <v>BUCK</v>
      </c>
      <c r="J125">
        <f t="shared" si="99"/>
        <v>1</v>
      </c>
      <c r="K125">
        <f t="shared" si="61"/>
        <v>12</v>
      </c>
      <c r="L125" s="4">
        <f t="shared" si="62"/>
        <v>6.8376068376068382</v>
      </c>
      <c r="M125" s="4">
        <f t="shared" si="63"/>
        <v>12</v>
      </c>
      <c r="N125" s="386">
        <f t="shared" si="64"/>
        <v>0.51844933469805532</v>
      </c>
      <c r="O125" s="386">
        <f t="shared" si="115"/>
        <v>0</v>
      </c>
      <c r="P125" s="4">
        <f t="shared" si="65"/>
        <v>4.982143674731593</v>
      </c>
      <c r="Q125" s="386">
        <f t="shared" si="66"/>
        <v>12.085879348767815</v>
      </c>
      <c r="R125" s="386">
        <f t="shared" si="116"/>
        <v>0.50926528516057012</v>
      </c>
      <c r="S125" s="386">
        <f t="shared" si="117"/>
        <v>0.56800247715916896</v>
      </c>
      <c r="T125" s="386">
        <f t="shared" si="118"/>
        <v>1.0772677623197391</v>
      </c>
      <c r="U125" s="4">
        <f t="shared" si="68"/>
        <v>1.4382209958738383</v>
      </c>
      <c r="V125" s="386">
        <f t="shared" si="119"/>
        <v>4.1369592659446707E-3</v>
      </c>
      <c r="W125" s="386">
        <f t="shared" si="120"/>
        <v>4.1369592659446707E-3</v>
      </c>
      <c r="X125" s="386">
        <f t="shared" si="69"/>
        <v>6.0388245063479884</v>
      </c>
      <c r="Y125" s="386">
        <f t="shared" si="121"/>
        <v>7.2934802836938054E-2</v>
      </c>
      <c r="Z125" s="603">
        <f t="shared" si="122"/>
        <v>7.2934802836938054E-2</v>
      </c>
      <c r="AA125" s="386">
        <f t="shared" si="70"/>
        <v>8.7022471859900055</v>
      </c>
      <c r="AB125" s="386">
        <f t="shared" si="71"/>
        <v>0.43165590469060455</v>
      </c>
      <c r="AC125" s="386">
        <f t="shared" si="72"/>
        <v>0.24024886363636355</v>
      </c>
      <c r="AD125">
        <f t="shared" si="73"/>
        <v>0</v>
      </c>
      <c r="AE125" s="386">
        <f t="shared" si="74"/>
        <v>0.73539203079826532</v>
      </c>
      <c r="AF125" s="386">
        <f t="shared" si="75"/>
        <v>8.3868571912785885</v>
      </c>
      <c r="AG125" s="386">
        <f t="shared" si="76"/>
        <v>0.40093442921733785</v>
      </c>
      <c r="AH125" s="386">
        <f t="shared" si="77"/>
        <v>0.24</v>
      </c>
      <c r="AI125" s="386">
        <f t="shared" si="78"/>
        <v>0.69680940546827697</v>
      </c>
      <c r="AJ125" s="386">
        <f t="shared" si="79"/>
        <v>0</v>
      </c>
      <c r="AK125" s="386">
        <f t="shared" si="80"/>
        <v>0</v>
      </c>
      <c r="AL125" s="386">
        <f t="shared" si="81"/>
        <v>0</v>
      </c>
      <c r="AM125">
        <f t="shared" si="82"/>
        <v>0</v>
      </c>
      <c r="AN125" s="386">
        <f t="shared" si="83"/>
        <v>0</v>
      </c>
      <c r="AO125" s="386">
        <f t="shared" si="84"/>
        <v>12.085879348767815</v>
      </c>
      <c r="AP125" s="386">
        <f t="shared" si="85"/>
        <v>0.27753011130264749</v>
      </c>
      <c r="AQ125" s="386">
        <f t="shared" si="86"/>
        <v>0</v>
      </c>
      <c r="AR125" s="386">
        <f t="shared" si="87"/>
        <v>0.29384000093561369</v>
      </c>
      <c r="AS125" s="386">
        <f t="shared" si="88"/>
        <v>0.27753011130264749</v>
      </c>
      <c r="AT125" s="386">
        <f t="shared" si="89"/>
        <v>0</v>
      </c>
      <c r="AU125" s="386">
        <f t="shared" si="90"/>
        <v>0.36747269999999999</v>
      </c>
      <c r="AV125" s="386">
        <f t="shared" si="91"/>
        <v>0.28135749418760547</v>
      </c>
      <c r="AW125" s="386">
        <f t="shared" si="92"/>
        <v>0.59328000000000003</v>
      </c>
      <c r="AX125" s="386">
        <f t="shared" si="93"/>
        <v>3.6000000000000004E-2</v>
      </c>
      <c r="AY125" s="386">
        <f t="shared" si="94"/>
        <v>6.6000000000000003E-2</v>
      </c>
      <c r="AZ125" s="386">
        <f t="shared" si="95"/>
        <v>4.3499999999999997E-2</v>
      </c>
      <c r="BA125" s="386">
        <f t="shared" si="123"/>
        <v>0.10200000000000001</v>
      </c>
      <c r="BB125" s="386">
        <f t="shared" si="124"/>
        <v>4.224491155812383</v>
      </c>
      <c r="BC125">
        <f t="shared" si="96"/>
        <v>144</v>
      </c>
      <c r="BD125" s="604">
        <f t="shared" si="125"/>
        <v>0.97149937150823718</v>
      </c>
      <c r="BE125" s="614">
        <f t="shared" si="97"/>
        <v>55.143236539913268</v>
      </c>
      <c r="BF125" s="614">
        <f t="shared" si="98"/>
        <v>34.84047027341385</v>
      </c>
      <c r="BG125" s="9"/>
      <c r="BH125" s="4">
        <f t="shared" si="126"/>
        <v>97.149937150823718</v>
      </c>
      <c r="BI125" s="386">
        <f t="shared" si="127"/>
        <v>1.0772677623197391</v>
      </c>
      <c r="BJ125" s="386">
        <f t="shared" si="128"/>
        <v>2.0935141372021562</v>
      </c>
      <c r="BK125" s="386">
        <f t="shared" si="129"/>
        <v>0.81807539646827698</v>
      </c>
      <c r="BL125" s="386">
        <f t="shared" si="130"/>
        <v>0.28135749418760547</v>
      </c>
    </row>
    <row r="126" spans="7:64" x14ac:dyDescent="0.2">
      <c r="G126">
        <v>117</v>
      </c>
      <c r="H126" s="610">
        <f t="shared" si="59"/>
        <v>23.549999999999997</v>
      </c>
      <c r="I126" s="4" t="str">
        <f t="shared" si="60"/>
        <v>BUCK</v>
      </c>
      <c r="J126">
        <f t="shared" si="99"/>
        <v>1</v>
      </c>
      <c r="K126">
        <f t="shared" si="61"/>
        <v>12</v>
      </c>
      <c r="L126" s="4">
        <f t="shared" si="62"/>
        <v>6.794055201698515</v>
      </c>
      <c r="M126" s="4">
        <f t="shared" si="63"/>
        <v>12</v>
      </c>
      <c r="N126" s="386">
        <f t="shared" si="64"/>
        <v>0.51515382659547426</v>
      </c>
      <c r="O126" s="386">
        <f t="shared" si="115"/>
        <v>0</v>
      </c>
      <c r="P126" s="4">
        <f t="shared" si="65"/>
        <v>5.0162391417952836</v>
      </c>
      <c r="Q126" s="386">
        <f t="shared" si="66"/>
        <v>12.087054559623143</v>
      </c>
      <c r="R126" s="386">
        <f t="shared" si="116"/>
        <v>0.50936836623129955</v>
      </c>
      <c r="S126" s="386">
        <f t="shared" si="117"/>
        <v>0.57699844598641659</v>
      </c>
      <c r="T126" s="386">
        <f t="shared" si="118"/>
        <v>1.0863668122177161</v>
      </c>
      <c r="U126" s="4">
        <f t="shared" si="68"/>
        <v>1.4480635094175223</v>
      </c>
      <c r="V126" s="386">
        <f t="shared" si="119"/>
        <v>4.1937758546131817E-3</v>
      </c>
      <c r="W126" s="386">
        <f t="shared" si="120"/>
        <v>4.1937758546131817E-3</v>
      </c>
      <c r="X126" s="386">
        <f t="shared" si="69"/>
        <v>6.040750989521193</v>
      </c>
      <c r="Y126" s="386">
        <f t="shared" si="121"/>
        <v>7.2981345034802539E-2</v>
      </c>
      <c r="Z126" s="603">
        <f t="shared" si="122"/>
        <v>7.2981345034802539E-2</v>
      </c>
      <c r="AA126" s="386">
        <f t="shared" si="70"/>
        <v>8.6753888022060526</v>
      </c>
      <c r="AB126" s="386">
        <f t="shared" si="71"/>
        <v>0.42899551395582036</v>
      </c>
      <c r="AC126" s="386">
        <f t="shared" si="72"/>
        <v>0.24178892045454539</v>
      </c>
      <c r="AD126">
        <f t="shared" si="73"/>
        <v>0</v>
      </c>
      <c r="AE126" s="386">
        <f t="shared" si="74"/>
        <v>0.73373854309085718</v>
      </c>
      <c r="AF126" s="386">
        <f t="shared" si="75"/>
        <v>8.4163244387240947</v>
      </c>
      <c r="AG126" s="386">
        <f t="shared" si="76"/>
        <v>0.40375674722982735</v>
      </c>
      <c r="AH126" s="386">
        <f t="shared" si="77"/>
        <v>0.24</v>
      </c>
      <c r="AI126" s="386">
        <f t="shared" si="78"/>
        <v>0.70030752489202219</v>
      </c>
      <c r="AJ126" s="386">
        <f t="shared" si="79"/>
        <v>0</v>
      </c>
      <c r="AK126" s="386">
        <f t="shared" si="80"/>
        <v>0</v>
      </c>
      <c r="AL126" s="386">
        <f t="shared" si="81"/>
        <v>0</v>
      </c>
      <c r="AM126">
        <f t="shared" si="82"/>
        <v>0</v>
      </c>
      <c r="AN126" s="386">
        <f t="shared" si="83"/>
        <v>0</v>
      </c>
      <c r="AO126" s="386">
        <f t="shared" si="84"/>
        <v>12.087054559623143</v>
      </c>
      <c r="AP126" s="386">
        <f t="shared" si="85"/>
        <v>0.27758408706188253</v>
      </c>
      <c r="AQ126" s="386">
        <f t="shared" si="86"/>
        <v>0</v>
      </c>
      <c r="AR126" s="386">
        <f t="shared" si="87"/>
        <v>0.29390050789615824</v>
      </c>
      <c r="AS126" s="386">
        <f t="shared" si="88"/>
        <v>0.27758408706188253</v>
      </c>
      <c r="AT126" s="386">
        <f t="shared" si="89"/>
        <v>0</v>
      </c>
      <c r="AU126" s="386">
        <f t="shared" si="90"/>
        <v>0.36983519999999998</v>
      </c>
      <c r="AV126" s="386">
        <f t="shared" si="91"/>
        <v>0.2833380682314578</v>
      </c>
      <c r="AW126" s="386">
        <f t="shared" si="92"/>
        <v>0.59328000000000003</v>
      </c>
      <c r="AX126" s="386">
        <f t="shared" si="93"/>
        <v>3.6000000000000004E-2</v>
      </c>
      <c r="AY126" s="386">
        <f t="shared" si="94"/>
        <v>6.6000000000000003E-2</v>
      </c>
      <c r="AZ126" s="386">
        <f t="shared" si="95"/>
        <v>4.3499999999999997E-2</v>
      </c>
      <c r="BA126" s="386">
        <f t="shared" si="123"/>
        <v>0.10200000000000001</v>
      </c>
      <c r="BB126" s="386">
        <f t="shared" si="124"/>
        <v>4.2399417772176271</v>
      </c>
      <c r="BC126">
        <f t="shared" si="96"/>
        <v>144</v>
      </c>
      <c r="BD126" s="604">
        <f t="shared" si="125"/>
        <v>0.97139811493187422</v>
      </c>
      <c r="BE126" s="614">
        <f t="shared" si="97"/>
        <v>55.178687154542857</v>
      </c>
      <c r="BF126" s="614">
        <f t="shared" si="98"/>
        <v>35.015376244601107</v>
      </c>
      <c r="BG126" s="9"/>
      <c r="BH126" s="4">
        <f t="shared" si="126"/>
        <v>97.139811493187423</v>
      </c>
      <c r="BI126" s="386">
        <f t="shared" si="127"/>
        <v>1.0863668122177161</v>
      </c>
      <c r="BJ126" s="386">
        <f t="shared" si="128"/>
        <v>2.0977817758790374</v>
      </c>
      <c r="BK126" s="386">
        <f t="shared" si="129"/>
        <v>0.82235314089202216</v>
      </c>
      <c r="BL126" s="386">
        <f t="shared" si="130"/>
        <v>0.2833380682314578</v>
      </c>
    </row>
    <row r="127" spans="7:64" x14ac:dyDescent="0.2">
      <c r="G127">
        <v>118</v>
      </c>
      <c r="H127" s="610">
        <f t="shared" si="59"/>
        <v>23.7</v>
      </c>
      <c r="I127" s="4" t="str">
        <f t="shared" si="60"/>
        <v>BUCK</v>
      </c>
      <c r="J127">
        <f t="shared" si="99"/>
        <v>1</v>
      </c>
      <c r="K127">
        <f t="shared" si="61"/>
        <v>12</v>
      </c>
      <c r="L127" s="4">
        <f t="shared" si="62"/>
        <v>6.7510548523206753</v>
      </c>
      <c r="M127" s="4">
        <f t="shared" si="63"/>
        <v>12</v>
      </c>
      <c r="N127" s="386">
        <f t="shared" si="64"/>
        <v>0.51189994946942907</v>
      </c>
      <c r="O127" s="386">
        <f t="shared" si="115"/>
        <v>0</v>
      </c>
      <c r="P127" s="4">
        <f t="shared" si="65"/>
        <v>5.0499038930042044</v>
      </c>
      <c r="Q127" s="386">
        <f t="shared" si="66"/>
        <v>12.088222675151556</v>
      </c>
      <c r="R127" s="386">
        <f t="shared" si="116"/>
        <v>0.50947083650222236</v>
      </c>
      <c r="S127" s="386">
        <f t="shared" si="117"/>
        <v>0.58595934875105193</v>
      </c>
      <c r="T127" s="386">
        <f t="shared" si="118"/>
        <v>1.0954301852532744</v>
      </c>
      <c r="U127" s="4">
        <f t="shared" si="68"/>
        <v>1.4577816860038584</v>
      </c>
      <c r="V127" s="386">
        <f t="shared" si="119"/>
        <v>4.2502548880965036E-3</v>
      </c>
      <c r="W127" s="386">
        <f t="shared" si="120"/>
        <v>4.2502548880965036E-3</v>
      </c>
      <c r="X127" s="386">
        <f t="shared" si="69"/>
        <v>6.042399296425919</v>
      </c>
      <c r="Y127" s="386">
        <f t="shared" si="121"/>
        <v>7.3021178514896895E-2</v>
      </c>
      <c r="Z127" s="603">
        <f t="shared" si="122"/>
        <v>7.3021178514896895E-2</v>
      </c>
      <c r="AA127" s="386">
        <f t="shared" si="70"/>
        <v>8.6487828828582689</v>
      </c>
      <c r="AB127" s="386">
        <f t="shared" si="71"/>
        <v>0.42636823852248651</v>
      </c>
      <c r="AC127" s="386">
        <f t="shared" si="72"/>
        <v>0.24332897727272726</v>
      </c>
      <c r="AD127">
        <f t="shared" si="73"/>
        <v>0</v>
      </c>
      <c r="AE127" s="386">
        <f t="shared" si="74"/>
        <v>0.73212848204778502</v>
      </c>
      <c r="AF127" s="386">
        <f t="shared" si="75"/>
        <v>8.4453349305534395</v>
      </c>
      <c r="AG127" s="386">
        <f t="shared" si="76"/>
        <v>0.40654498790858862</v>
      </c>
      <c r="AH127" s="386">
        <f t="shared" si="77"/>
        <v>0.24</v>
      </c>
      <c r="AI127" s="386">
        <f t="shared" si="78"/>
        <v>0.70376762829578154</v>
      </c>
      <c r="AJ127" s="386">
        <f t="shared" si="79"/>
        <v>0</v>
      </c>
      <c r="AK127" s="386">
        <f t="shared" si="80"/>
        <v>0</v>
      </c>
      <c r="AL127" s="386">
        <f t="shared" si="81"/>
        <v>0</v>
      </c>
      <c r="AM127">
        <f t="shared" si="82"/>
        <v>0</v>
      </c>
      <c r="AN127" s="386">
        <f t="shared" si="83"/>
        <v>0</v>
      </c>
      <c r="AO127" s="386">
        <f t="shared" si="84"/>
        <v>12.088222675151556</v>
      </c>
      <c r="AP127" s="386">
        <f t="shared" si="85"/>
        <v>0.27763774214369169</v>
      </c>
      <c r="AQ127" s="386">
        <f t="shared" si="86"/>
        <v>0</v>
      </c>
      <c r="AR127" s="386">
        <f t="shared" si="87"/>
        <v>0.29396065674737532</v>
      </c>
      <c r="AS127" s="386">
        <f t="shared" si="88"/>
        <v>0.27763774214369169</v>
      </c>
      <c r="AT127" s="386">
        <f t="shared" si="89"/>
        <v>0</v>
      </c>
      <c r="AU127" s="386">
        <f t="shared" si="90"/>
        <v>0.37219769999999996</v>
      </c>
      <c r="AV127" s="386">
        <f t="shared" si="91"/>
        <v>0.28529472835690428</v>
      </c>
      <c r="AW127" s="386">
        <f t="shared" si="92"/>
        <v>0.59328000000000003</v>
      </c>
      <c r="AX127" s="386">
        <f t="shared" si="93"/>
        <v>3.6000000000000004E-2</v>
      </c>
      <c r="AY127" s="386">
        <f t="shared" si="94"/>
        <v>6.6000000000000003E-2</v>
      </c>
      <c r="AZ127" s="386">
        <f t="shared" si="95"/>
        <v>4.3499999999999997E-2</v>
      </c>
      <c r="BA127" s="386">
        <f t="shared" si="123"/>
        <v>0.10200000000000001</v>
      </c>
      <c r="BB127" s="386">
        <f t="shared" si="124"/>
        <v>4.2553308141041137</v>
      </c>
      <c r="BC127">
        <f t="shared" si="96"/>
        <v>144</v>
      </c>
      <c r="BD127" s="604">
        <f t="shared" si="125"/>
        <v>0.97129728293251161</v>
      </c>
      <c r="BE127" s="614">
        <f t="shared" si="97"/>
        <v>55.216309102389246</v>
      </c>
      <c r="BF127" s="614">
        <f t="shared" si="98"/>
        <v>35.188381414789077</v>
      </c>
      <c r="BG127" s="9"/>
      <c r="BH127" s="4">
        <f t="shared" si="126"/>
        <v>97.129728293251162</v>
      </c>
      <c r="BI127" s="386">
        <f t="shared" si="127"/>
        <v>1.0954301852532744</v>
      </c>
      <c r="BJ127" s="386">
        <f t="shared" si="128"/>
        <v>2.1020544670909418</v>
      </c>
      <c r="BK127" s="386">
        <f t="shared" si="129"/>
        <v>0.82659286929578157</v>
      </c>
      <c r="BL127" s="386">
        <f t="shared" si="130"/>
        <v>0.28529472835690428</v>
      </c>
    </row>
    <row r="128" spans="7:64" x14ac:dyDescent="0.2">
      <c r="G128">
        <v>119</v>
      </c>
      <c r="H128" s="610">
        <f t="shared" si="59"/>
        <v>23.849999999999998</v>
      </c>
      <c r="I128" s="4" t="str">
        <f t="shared" si="60"/>
        <v>BUCK</v>
      </c>
      <c r="J128">
        <f t="shared" si="99"/>
        <v>1</v>
      </c>
      <c r="K128">
        <f t="shared" si="61"/>
        <v>12</v>
      </c>
      <c r="L128" s="4">
        <f t="shared" si="62"/>
        <v>6.7085953878406706</v>
      </c>
      <c r="M128" s="4">
        <f t="shared" si="63"/>
        <v>12</v>
      </c>
      <c r="N128" s="386">
        <f t="shared" si="64"/>
        <v>0.5086869194074819</v>
      </c>
      <c r="O128" s="386">
        <f t="shared" si="115"/>
        <v>0</v>
      </c>
      <c r="P128" s="4">
        <f t="shared" si="65"/>
        <v>5.0831460387497938</v>
      </c>
      <c r="Q128" s="386">
        <f t="shared" si="66"/>
        <v>12.089383681737935</v>
      </c>
      <c r="R128" s="386">
        <f t="shared" si="116"/>
        <v>0.50957269456942578</v>
      </c>
      <c r="S128" s="386">
        <f t="shared" si="117"/>
        <v>0.59488453139304309</v>
      </c>
      <c r="T128" s="386">
        <f t="shared" si="118"/>
        <v>1.1044572259624688</v>
      </c>
      <c r="U128" s="4">
        <f t="shared" si="68"/>
        <v>1.4673778669011868</v>
      </c>
      <c r="V128" s="386">
        <f t="shared" si="119"/>
        <v>4.3063956085429541E-3</v>
      </c>
      <c r="W128" s="386">
        <f t="shared" si="120"/>
        <v>4.3063956085429541E-3</v>
      </c>
      <c r="X128" s="386">
        <f t="shared" si="69"/>
        <v>6.0437794760666428</v>
      </c>
      <c r="Y128" s="386">
        <f t="shared" si="121"/>
        <v>7.3054540710648763E-2</v>
      </c>
      <c r="Z128" s="603">
        <f t="shared" si="122"/>
        <v>7.3054540710648763E-2</v>
      </c>
      <c r="AA128" s="386">
        <f t="shared" si="70"/>
        <v>8.6224254100924078</v>
      </c>
      <c r="AB128" s="386">
        <f t="shared" si="71"/>
        <v>0.42377345372986119</v>
      </c>
      <c r="AC128" s="386">
        <f t="shared" si="72"/>
        <v>0.24486903409090907</v>
      </c>
      <c r="AD128">
        <f t="shared" si="73"/>
        <v>0</v>
      </c>
      <c r="AE128" s="386">
        <f t="shared" si="74"/>
        <v>0.73056095569148394</v>
      </c>
      <c r="AF128" s="386">
        <f t="shared" si="75"/>
        <v>8.4738998018423768</v>
      </c>
      <c r="AG128" s="386">
        <f t="shared" si="76"/>
        <v>0.40929977375448634</v>
      </c>
      <c r="AH128" s="386">
        <f t="shared" si="77"/>
        <v>0.24</v>
      </c>
      <c r="AI128" s="386">
        <f t="shared" si="78"/>
        <v>0.7071903432534884</v>
      </c>
      <c r="AJ128" s="386">
        <f t="shared" si="79"/>
        <v>0</v>
      </c>
      <c r="AK128" s="386">
        <f t="shared" si="80"/>
        <v>0</v>
      </c>
      <c r="AL128" s="386">
        <f t="shared" si="81"/>
        <v>0</v>
      </c>
      <c r="AM128">
        <f t="shared" si="82"/>
        <v>0</v>
      </c>
      <c r="AN128" s="386">
        <f t="shared" si="83"/>
        <v>0</v>
      </c>
      <c r="AO128" s="386">
        <f t="shared" si="84"/>
        <v>12.089383681737935</v>
      </c>
      <c r="AP128" s="386">
        <f t="shared" si="85"/>
        <v>0.27769107582811581</v>
      </c>
      <c r="AQ128" s="386">
        <f t="shared" si="86"/>
        <v>0</v>
      </c>
      <c r="AR128" s="386">
        <f t="shared" si="87"/>
        <v>0.29402044665768284</v>
      </c>
      <c r="AS128" s="386">
        <f t="shared" si="88"/>
        <v>0.27769107582811581</v>
      </c>
      <c r="AT128" s="386">
        <f t="shared" si="89"/>
        <v>0</v>
      </c>
      <c r="AU128" s="386">
        <f t="shared" si="90"/>
        <v>0.37456019999999995</v>
      </c>
      <c r="AV128" s="386">
        <f t="shared" si="91"/>
        <v>0.2872279114066571</v>
      </c>
      <c r="AW128" s="386">
        <f t="shared" si="92"/>
        <v>0.59328000000000003</v>
      </c>
      <c r="AX128" s="386">
        <f t="shared" si="93"/>
        <v>3.6000000000000004E-2</v>
      </c>
      <c r="AY128" s="386">
        <f t="shared" si="94"/>
        <v>6.6000000000000003E-2</v>
      </c>
      <c r="AZ128" s="386">
        <f t="shared" si="95"/>
        <v>4.3499999999999997E-2</v>
      </c>
      <c r="BA128" s="386">
        <f t="shared" si="123"/>
        <v>0.10200000000000001</v>
      </c>
      <c r="BB128" s="386">
        <f t="shared" si="124"/>
        <v>4.2706580192909724</v>
      </c>
      <c r="BC128">
        <f t="shared" si="96"/>
        <v>144</v>
      </c>
      <c r="BD128" s="604">
        <f t="shared" si="125"/>
        <v>0.97119687687138112</v>
      </c>
      <c r="BE128" s="614">
        <f t="shared" si="97"/>
        <v>55.256057784574196</v>
      </c>
      <c r="BF128" s="614">
        <f t="shared" si="98"/>
        <v>35.359517162674422</v>
      </c>
      <c r="BG128" s="9"/>
      <c r="BH128" s="4">
        <f t="shared" si="126"/>
        <v>97.119687687138111</v>
      </c>
      <c r="BI128" s="386">
        <f t="shared" si="127"/>
        <v>1.1044572259624688</v>
      </c>
      <c r="BJ128" s="386">
        <f t="shared" si="128"/>
        <v>2.1063319456026552</v>
      </c>
      <c r="BK128" s="386">
        <f t="shared" si="129"/>
        <v>0.83079520925348838</v>
      </c>
      <c r="BL128" s="386">
        <f t="shared" si="130"/>
        <v>0.2872279114066571</v>
      </c>
    </row>
    <row r="129" spans="7:64" x14ac:dyDescent="0.2">
      <c r="G129">
        <v>120</v>
      </c>
      <c r="H129" s="610">
        <f t="shared" si="59"/>
        <v>24</v>
      </c>
      <c r="I129" s="4" t="str">
        <f t="shared" si="60"/>
        <v>BUCK</v>
      </c>
      <c r="J129">
        <f t="shared" si="99"/>
        <v>1</v>
      </c>
      <c r="K129">
        <f t="shared" si="61"/>
        <v>12</v>
      </c>
      <c r="L129" s="4">
        <f t="shared" si="62"/>
        <v>6.6666666666666661</v>
      </c>
      <c r="M129" s="4">
        <f t="shared" si="63"/>
        <v>12</v>
      </c>
      <c r="N129" s="386">
        <f t="shared" si="64"/>
        <v>0.50551397205588822</v>
      </c>
      <c r="O129" s="386">
        <f t="shared" si="115"/>
        <v>0</v>
      </c>
      <c r="P129" s="4">
        <f t="shared" si="65"/>
        <v>5.1159734870684161</v>
      </c>
      <c r="Q129" s="386">
        <f t="shared" si="66"/>
        <v>12.090537569798082</v>
      </c>
      <c r="R129" s="386">
        <f t="shared" si="116"/>
        <v>0.50967393938342576</v>
      </c>
      <c r="S129" s="386">
        <f t="shared" si="117"/>
        <v>0.60377338422610005</v>
      </c>
      <c r="T129" s="386">
        <f t="shared" si="118"/>
        <v>1.1134473236095257</v>
      </c>
      <c r="U129" s="4">
        <f t="shared" si="68"/>
        <v>1.4768543349629693</v>
      </c>
      <c r="V129" s="386">
        <f t="shared" si="119"/>
        <v>4.3621974533978288E-3</v>
      </c>
      <c r="W129" s="386">
        <f t="shared" si="120"/>
        <v>4.3621974533978288E-3</v>
      </c>
      <c r="X129" s="386">
        <f t="shared" si="69"/>
        <v>6.0449011743737975</v>
      </c>
      <c r="Y129" s="386">
        <f t="shared" si="121"/>
        <v>7.3081660415891439E-2</v>
      </c>
      <c r="Z129" s="603">
        <f t="shared" si="122"/>
        <v>7.3081660415891439E-2</v>
      </c>
      <c r="AA129" s="386">
        <f t="shared" si="70"/>
        <v>8.5963124569100859</v>
      </c>
      <c r="AB129" s="386">
        <f t="shared" si="71"/>
        <v>0.42121055078391689</v>
      </c>
      <c r="AC129" s="386">
        <f t="shared" si="72"/>
        <v>0.24640909090909088</v>
      </c>
      <c r="AD129">
        <f t="shared" si="73"/>
        <v>0</v>
      </c>
      <c r="AE129" s="386">
        <f t="shared" si="74"/>
        <v>0.72903509660976917</v>
      </c>
      <c r="AF129" s="386">
        <f t="shared" si="75"/>
        <v>8.5020298088086825</v>
      </c>
      <c r="AG129" s="386">
        <f t="shared" si="76"/>
        <v>0.41202171195826698</v>
      </c>
      <c r="AH129" s="386">
        <f t="shared" si="77"/>
        <v>0.24</v>
      </c>
      <c r="AI129" s="386">
        <f t="shared" si="78"/>
        <v>0.71057628330295197</v>
      </c>
      <c r="AJ129" s="386">
        <f t="shared" si="79"/>
        <v>0</v>
      </c>
      <c r="AK129" s="386">
        <f t="shared" si="80"/>
        <v>0</v>
      </c>
      <c r="AL129" s="386">
        <f t="shared" si="81"/>
        <v>0</v>
      </c>
      <c r="AM129">
        <f t="shared" si="82"/>
        <v>0</v>
      </c>
      <c r="AN129" s="386">
        <f t="shared" si="83"/>
        <v>0</v>
      </c>
      <c r="AO129" s="386">
        <f t="shared" si="84"/>
        <v>12.090537569798082</v>
      </c>
      <c r="AP129" s="386">
        <f t="shared" si="85"/>
        <v>0.27774408758072794</v>
      </c>
      <c r="AQ129" s="386">
        <f t="shared" si="86"/>
        <v>0</v>
      </c>
      <c r="AR129" s="386">
        <f t="shared" si="87"/>
        <v>0.2940798770035698</v>
      </c>
      <c r="AS129" s="386">
        <f t="shared" si="88"/>
        <v>0.27774408758072794</v>
      </c>
      <c r="AT129" s="386">
        <f t="shared" si="89"/>
        <v>0</v>
      </c>
      <c r="AU129" s="386">
        <f t="shared" si="90"/>
        <v>0.3769227</v>
      </c>
      <c r="AV129" s="386">
        <f t="shared" si="91"/>
        <v>0.28913804347948557</v>
      </c>
      <c r="AW129" s="386">
        <f t="shared" si="92"/>
        <v>0.59328000000000003</v>
      </c>
      <c r="AX129" s="386">
        <f t="shared" si="93"/>
        <v>3.6000000000000004E-2</v>
      </c>
      <c r="AY129" s="386">
        <f t="shared" si="94"/>
        <v>6.6000000000000003E-2</v>
      </c>
      <c r="AZ129" s="386">
        <f t="shared" si="95"/>
        <v>4.3499999999999997E-2</v>
      </c>
      <c r="BA129" s="386">
        <f t="shared" si="123"/>
        <v>0.10200000000000001</v>
      </c>
      <c r="BB129" s="386">
        <f t="shared" si="124"/>
        <v>4.2859231818745922</v>
      </c>
      <c r="BC129">
        <f t="shared" si="96"/>
        <v>144</v>
      </c>
      <c r="BD129" s="604">
        <f t="shared" si="125"/>
        <v>0.9710968978719724</v>
      </c>
      <c r="BE129" s="614">
        <f t="shared" si="97"/>
        <v>55.297889830488458</v>
      </c>
      <c r="BF129" s="614">
        <f t="shared" si="98"/>
        <v>35.528814165147601</v>
      </c>
      <c r="BG129" s="9"/>
      <c r="BH129" s="4">
        <f t="shared" si="126"/>
        <v>97.10968978719724</v>
      </c>
      <c r="BI129" s="386">
        <f t="shared" si="127"/>
        <v>1.1134473236095257</v>
      </c>
      <c r="BJ129" s="386">
        <f t="shared" si="128"/>
        <v>2.1106139569162909</v>
      </c>
      <c r="BK129" s="386">
        <f t="shared" si="129"/>
        <v>0.83496077430295201</v>
      </c>
      <c r="BL129" s="386">
        <f t="shared" si="130"/>
        <v>0.28913804347948557</v>
      </c>
    </row>
    <row r="130" spans="7:64" x14ac:dyDescent="0.2">
      <c r="G130">
        <v>121</v>
      </c>
      <c r="H130" s="610">
        <f t="shared" si="59"/>
        <v>24.15</v>
      </c>
      <c r="I130" s="4" t="str">
        <f t="shared" si="60"/>
        <v>BUCK</v>
      </c>
      <c r="J130">
        <f t="shared" si="99"/>
        <v>1</v>
      </c>
      <c r="K130">
        <f t="shared" si="61"/>
        <v>12</v>
      </c>
      <c r="L130" s="4">
        <f t="shared" si="62"/>
        <v>6.625258799171843</v>
      </c>
      <c r="M130" s="4">
        <f t="shared" si="63"/>
        <v>12</v>
      </c>
      <c r="N130" s="386">
        <f t="shared" si="64"/>
        <v>0.50238036201338954</v>
      </c>
      <c r="O130" s="386">
        <f t="shared" si="115"/>
        <v>0</v>
      </c>
      <c r="P130" s="4">
        <f t="shared" si="65"/>
        <v>5.1483939499132161</v>
      </c>
      <c r="Q130" s="386">
        <f t="shared" si="66"/>
        <v>12.091684333539252</v>
      </c>
      <c r="R130" s="386">
        <f t="shared" si="116"/>
        <v>0.5097745702283546</v>
      </c>
      <c r="S130" s="386">
        <f t="shared" si="117"/>
        <v>0.61262533986527723</v>
      </c>
      <c r="T130" s="386">
        <f t="shared" si="118"/>
        <v>1.1223999100936317</v>
      </c>
      <c r="U130" s="4">
        <f t="shared" si="68"/>
        <v>1.486213316438318</v>
      </c>
      <c r="V130" s="386">
        <f t="shared" si="119"/>
        <v>4.417660043917168E-3</v>
      </c>
      <c r="W130" s="386">
        <f t="shared" si="120"/>
        <v>4.417660043917168E-3</v>
      </c>
      <c r="X130" s="386">
        <f t="shared" si="69"/>
        <v>6.0457736534069015</v>
      </c>
      <c r="Y130" s="386">
        <f t="shared" si="121"/>
        <v>7.3102758136458071E-2</v>
      </c>
      <c r="Z130" s="603">
        <f t="shared" si="122"/>
        <v>7.3102758136458071E-2</v>
      </c>
      <c r="AA130" s="386">
        <f t="shared" si="70"/>
        <v>8.5704401844937763</v>
      </c>
      <c r="AB130" s="386">
        <f t="shared" si="71"/>
        <v>0.41867893624911856</v>
      </c>
      <c r="AC130" s="386">
        <f t="shared" si="72"/>
        <v>0.24794914772727267</v>
      </c>
      <c r="AD130">
        <f t="shared" si="73"/>
        <v>0</v>
      </c>
      <c r="AE130" s="386">
        <f t="shared" si="74"/>
        <v>0.72755006110682885</v>
      </c>
      <c r="AF130" s="386">
        <f t="shared" si="75"/>
        <v>8.529735345599704</v>
      </c>
      <c r="AG130" s="386">
        <f t="shared" si="76"/>
        <v>0.41471139487604558</v>
      </c>
      <c r="AH130" s="386">
        <f t="shared" si="77"/>
        <v>0.24</v>
      </c>
      <c r="AI130" s="386">
        <f t="shared" si="78"/>
        <v>0.71392604834559448</v>
      </c>
      <c r="AJ130" s="386">
        <f t="shared" si="79"/>
        <v>0</v>
      </c>
      <c r="AK130" s="386">
        <f t="shared" si="80"/>
        <v>0</v>
      </c>
      <c r="AL130" s="386">
        <f t="shared" si="81"/>
        <v>0</v>
      </c>
      <c r="AM130">
        <f t="shared" si="82"/>
        <v>0</v>
      </c>
      <c r="AN130" s="386">
        <f t="shared" si="83"/>
        <v>0</v>
      </c>
      <c r="AO130" s="386">
        <f t="shared" si="84"/>
        <v>12.091684333539252</v>
      </c>
      <c r="AP130" s="386">
        <f t="shared" si="85"/>
        <v>0.27779677704172134</v>
      </c>
      <c r="AQ130" s="386">
        <f t="shared" si="86"/>
        <v>0</v>
      </c>
      <c r="AR130" s="386">
        <f t="shared" si="87"/>
        <v>0.29413894735738666</v>
      </c>
      <c r="AS130" s="386">
        <f t="shared" si="88"/>
        <v>0.27779677704172134</v>
      </c>
      <c r="AT130" s="386">
        <f t="shared" si="89"/>
        <v>0</v>
      </c>
      <c r="AU130" s="386">
        <f t="shared" si="90"/>
        <v>0.37928519999999999</v>
      </c>
      <c r="AV130" s="386">
        <f t="shared" si="91"/>
        <v>0.29102554026389166</v>
      </c>
      <c r="AW130" s="386">
        <f t="shared" si="92"/>
        <v>0.59328000000000003</v>
      </c>
      <c r="AX130" s="386">
        <f t="shared" si="93"/>
        <v>3.6000000000000004E-2</v>
      </c>
      <c r="AY130" s="386">
        <f t="shared" si="94"/>
        <v>6.6000000000000003E-2</v>
      </c>
      <c r="AZ130" s="386">
        <f t="shared" si="95"/>
        <v>4.3499999999999997E-2</v>
      </c>
      <c r="BA130" s="386">
        <f t="shared" si="123"/>
        <v>0.10200000000000001</v>
      </c>
      <c r="BB130" s="386">
        <f t="shared" si="124"/>
        <v>4.3011261253477091</v>
      </c>
      <c r="BC130">
        <f t="shared" si="96"/>
        <v>144</v>
      </c>
      <c r="BD130" s="604">
        <f t="shared" si="125"/>
        <v>0.97099734683260397</v>
      </c>
      <c r="BE130" s="614">
        <f t="shared" si="97"/>
        <v>55.341763055341445</v>
      </c>
      <c r="BF130" s="614">
        <f t="shared" si="98"/>
        <v>35.696302417279725</v>
      </c>
      <c r="BG130" s="9"/>
      <c r="BH130" s="4">
        <f t="shared" si="126"/>
        <v>97.099734683260394</v>
      </c>
      <c r="BI130" s="386">
        <f t="shared" si="127"/>
        <v>1.1223999100936317</v>
      </c>
      <c r="BJ130" s="386">
        <f t="shared" si="128"/>
        <v>2.1149002568098099</v>
      </c>
      <c r="BK130" s="386">
        <f t="shared" si="129"/>
        <v>0.83909016434559447</v>
      </c>
      <c r="BL130" s="386">
        <f t="shared" si="130"/>
        <v>0.29102554026389166</v>
      </c>
    </row>
    <row r="131" spans="7:64" x14ac:dyDescent="0.2">
      <c r="G131">
        <v>122</v>
      </c>
      <c r="H131" s="610">
        <f t="shared" si="59"/>
        <v>24.3</v>
      </c>
      <c r="I131" s="4" t="str">
        <f t="shared" si="60"/>
        <v>BUCK</v>
      </c>
      <c r="J131">
        <f t="shared" si="99"/>
        <v>1</v>
      </c>
      <c r="K131">
        <f t="shared" si="61"/>
        <v>12</v>
      </c>
      <c r="L131" s="4">
        <f t="shared" si="62"/>
        <v>6.5843621399176948</v>
      </c>
      <c r="M131" s="4">
        <f t="shared" si="63"/>
        <v>12</v>
      </c>
      <c r="N131" s="386">
        <f t="shared" si="64"/>
        <v>0.49928536224741249</v>
      </c>
      <c r="O131" s="386">
        <f t="shared" si="115"/>
        <v>0</v>
      </c>
      <c r="P131" s="4">
        <f t="shared" si="65"/>
        <v>5.180414949194132</v>
      </c>
      <c r="Q131" s="386">
        <f t="shared" si="66"/>
        <v>12.092823970733752</v>
      </c>
      <c r="R131" s="386">
        <f t="shared" si="116"/>
        <v>0.50987458670227903</v>
      </c>
      <c r="S131" s="386">
        <f t="shared" si="117"/>
        <v>0.62143987124926903</v>
      </c>
      <c r="T131" s="386">
        <f t="shared" si="118"/>
        <v>1.1313144579515479</v>
      </c>
      <c r="U131" s="4">
        <f t="shared" si="68"/>
        <v>1.4954569827155968</v>
      </c>
      <c r="V131" s="386">
        <f t="shared" si="119"/>
        <v>4.4727831743056733E-3</v>
      </c>
      <c r="W131" s="386">
        <f t="shared" si="120"/>
        <v>4.4727831743056733E-3</v>
      </c>
      <c r="X131" s="386">
        <f t="shared" si="69"/>
        <v>6.04640580947245</v>
      </c>
      <c r="Y131" s="386">
        <f t="shared" si="121"/>
        <v>7.3118046425644387E-2</v>
      </c>
      <c r="Z131" s="603">
        <f t="shared" si="122"/>
        <v>7.3118046425644387E-2</v>
      </c>
      <c r="AA131" s="386">
        <f t="shared" si="70"/>
        <v>8.5448048396289344</v>
      </c>
      <c r="AB131" s="386">
        <f t="shared" si="71"/>
        <v>0.4161780315598726</v>
      </c>
      <c r="AC131" s="386">
        <f t="shared" si="72"/>
        <v>0.24948920454545453</v>
      </c>
      <c r="AD131">
        <f t="shared" si="73"/>
        <v>0</v>
      </c>
      <c r="AE131" s="386">
        <f t="shared" si="74"/>
        <v>0.72610502838950064</v>
      </c>
      <c r="AF131" s="386">
        <f t="shared" si="75"/>
        <v>8.5570264601558161</v>
      </c>
      <c r="AG131" s="386">
        <f t="shared" si="76"/>
        <v>0.41736940048689863</v>
      </c>
      <c r="AH131" s="386">
        <f t="shared" si="77"/>
        <v>0.24</v>
      </c>
      <c r="AI131" s="386">
        <f t="shared" si="78"/>
        <v>0.71724022503225915</v>
      </c>
      <c r="AJ131" s="386">
        <f t="shared" si="79"/>
        <v>0</v>
      </c>
      <c r="AK131" s="386">
        <f t="shared" si="80"/>
        <v>0</v>
      </c>
      <c r="AL131" s="386">
        <f t="shared" si="81"/>
        <v>0</v>
      </c>
      <c r="AM131">
        <f t="shared" si="82"/>
        <v>0</v>
      </c>
      <c r="AN131" s="386">
        <f t="shared" si="83"/>
        <v>0</v>
      </c>
      <c r="AO131" s="386">
        <f t="shared" si="84"/>
        <v>12.092823970733752</v>
      </c>
      <c r="AP131" s="386">
        <f t="shared" si="85"/>
        <v>0.27784914401559041</v>
      </c>
      <c r="AQ131" s="386">
        <f t="shared" si="86"/>
        <v>0</v>
      </c>
      <c r="AR131" s="386">
        <f t="shared" si="87"/>
        <v>0.29419765747579896</v>
      </c>
      <c r="AS131" s="386">
        <f t="shared" si="88"/>
        <v>0.27784914401559041</v>
      </c>
      <c r="AT131" s="386">
        <f t="shared" si="89"/>
        <v>0</v>
      </c>
      <c r="AU131" s="386">
        <f t="shared" si="90"/>
        <v>0.38164770000000003</v>
      </c>
      <c r="AV131" s="386">
        <f t="shared" si="91"/>
        <v>0.29289080735922712</v>
      </c>
      <c r="AW131" s="386">
        <f t="shared" si="92"/>
        <v>0.59328000000000003</v>
      </c>
      <c r="AX131" s="386">
        <f t="shared" si="93"/>
        <v>3.6000000000000004E-2</v>
      </c>
      <c r="AY131" s="386">
        <f t="shared" si="94"/>
        <v>6.6000000000000003E-2</v>
      </c>
      <c r="AZ131" s="386">
        <f t="shared" si="95"/>
        <v>4.3499999999999997E-2</v>
      </c>
      <c r="BA131" s="386">
        <f t="shared" si="123"/>
        <v>0.10200000000000001</v>
      </c>
      <c r="BB131" s="386">
        <f t="shared" si="124"/>
        <v>4.3162667058082835</v>
      </c>
      <c r="BC131">
        <f t="shared" si="96"/>
        <v>144</v>
      </c>
      <c r="BD131" s="604">
        <f t="shared" si="125"/>
        <v>0.97089822443839024</v>
      </c>
      <c r="BE131" s="614">
        <f t="shared" si="97"/>
        <v>55.387636419475037</v>
      </c>
      <c r="BF131" s="614">
        <f t="shared" si="98"/>
        <v>35.862011251612955</v>
      </c>
      <c r="BG131" s="9"/>
      <c r="BH131" s="4">
        <f t="shared" si="126"/>
        <v>97.089822443839026</v>
      </c>
      <c r="BI131" s="386">
        <f t="shared" si="127"/>
        <v>1.1313144579515479</v>
      </c>
      <c r="BJ131" s="386">
        <f t="shared" si="128"/>
        <v>2.1191906108975589</v>
      </c>
      <c r="BK131" s="386">
        <f t="shared" si="129"/>
        <v>0.8431839660322592</v>
      </c>
      <c r="BL131" s="386">
        <f t="shared" si="130"/>
        <v>0.29289080735922712</v>
      </c>
    </row>
    <row r="132" spans="7:64" x14ac:dyDescent="0.2">
      <c r="G132">
        <v>123</v>
      </c>
      <c r="H132" s="610">
        <f t="shared" si="59"/>
        <v>24.45</v>
      </c>
      <c r="I132" s="4" t="str">
        <f t="shared" si="60"/>
        <v>BUCK</v>
      </c>
      <c r="J132">
        <f t="shared" si="99"/>
        <v>1</v>
      </c>
      <c r="K132">
        <f t="shared" si="61"/>
        <v>12</v>
      </c>
      <c r="L132" s="4">
        <f t="shared" si="62"/>
        <v>6.5439672801635993</v>
      </c>
      <c r="M132" s="4">
        <f t="shared" si="63"/>
        <v>12</v>
      </c>
      <c r="N132" s="386">
        <f t="shared" si="64"/>
        <v>0.4962282635317169</v>
      </c>
      <c r="O132" s="386">
        <f t="shared" si="115"/>
        <v>0</v>
      </c>
      <c r="P132" s="4">
        <f t="shared" si="65"/>
        <v>5.2120438225960255</v>
      </c>
      <c r="Q132" s="386">
        <f t="shared" si="66"/>
        <v>12.093956482504879</v>
      </c>
      <c r="R132" s="386">
        <f t="shared" si="116"/>
        <v>0.50997398869858523</v>
      </c>
      <c r="S132" s="386">
        <f t="shared" si="117"/>
        <v>0.63021648975299727</v>
      </c>
      <c r="T132" s="386">
        <f t="shared" si="118"/>
        <v>1.1401904784515824</v>
      </c>
      <c r="U132" s="4">
        <f t="shared" si="68"/>
        <v>1.5045874520019709</v>
      </c>
      <c r="V132" s="386">
        <f t="shared" si="119"/>
        <v>4.5275668014435663E-3</v>
      </c>
      <c r="W132" s="386">
        <f t="shared" si="120"/>
        <v>4.5275668014435663E-3</v>
      </c>
      <c r="X132" s="386">
        <f t="shared" si="69"/>
        <v>6.0468061902284305</v>
      </c>
      <c r="Y132" s="386">
        <f t="shared" si="121"/>
        <v>7.3127730204369731E-2</v>
      </c>
      <c r="Z132" s="603">
        <f t="shared" si="122"/>
        <v>7.3127730204369731E-2</v>
      </c>
      <c r="AA132" s="386">
        <f t="shared" si="70"/>
        <v>8.5194027522191558</v>
      </c>
      <c r="AB132" s="386">
        <f t="shared" si="71"/>
        <v>0.41370727255076017</v>
      </c>
      <c r="AC132" s="386">
        <f t="shared" si="72"/>
        <v>0.25102926136363635</v>
      </c>
      <c r="AD132">
        <f t="shared" si="73"/>
        <v>0</v>
      </c>
      <c r="AE132" s="386">
        <f t="shared" si="74"/>
        <v>0.7246991997871266</v>
      </c>
      <c r="AF132" s="386">
        <f t="shared" si="75"/>
        <v>8.5839128692107813</v>
      </c>
      <c r="AG132" s="386">
        <f t="shared" si="76"/>
        <v>0.4199962928333541</v>
      </c>
      <c r="AH132" s="386">
        <f t="shared" si="77"/>
        <v>0.24</v>
      </c>
      <c r="AI132" s="386">
        <f t="shared" si="78"/>
        <v>0.72051938713566166</v>
      </c>
      <c r="AJ132" s="386">
        <f t="shared" si="79"/>
        <v>0</v>
      </c>
      <c r="AK132" s="386">
        <f t="shared" si="80"/>
        <v>0</v>
      </c>
      <c r="AL132" s="386">
        <f t="shared" si="81"/>
        <v>0</v>
      </c>
      <c r="AM132">
        <f t="shared" si="82"/>
        <v>0</v>
      </c>
      <c r="AN132" s="386">
        <f t="shared" si="83"/>
        <v>0</v>
      </c>
      <c r="AO132" s="386">
        <f t="shared" si="84"/>
        <v>12.093956482504879</v>
      </c>
      <c r="AP132" s="386">
        <f t="shared" si="85"/>
        <v>0.27790118846137141</v>
      </c>
      <c r="AQ132" s="386">
        <f t="shared" si="86"/>
        <v>0</v>
      </c>
      <c r="AR132" s="386">
        <f t="shared" si="87"/>
        <v>0.29425600728886619</v>
      </c>
      <c r="AS132" s="386">
        <f t="shared" si="88"/>
        <v>0.27790118846137141</v>
      </c>
      <c r="AT132" s="386">
        <f t="shared" si="89"/>
        <v>0</v>
      </c>
      <c r="AU132" s="386">
        <f t="shared" si="90"/>
        <v>0.38401019999999997</v>
      </c>
      <c r="AV132" s="386">
        <f t="shared" si="91"/>
        <v>0.29473424058480985</v>
      </c>
      <c r="AW132" s="386">
        <f t="shared" si="92"/>
        <v>0.59328000000000003</v>
      </c>
      <c r="AX132" s="386">
        <f t="shared" si="93"/>
        <v>3.6000000000000004E-2</v>
      </c>
      <c r="AY132" s="386">
        <f t="shared" si="94"/>
        <v>6.6000000000000003E-2</v>
      </c>
      <c r="AZ132" s="386">
        <f t="shared" si="95"/>
        <v>4.3499999999999997E-2</v>
      </c>
      <c r="BA132" s="386">
        <f t="shared" si="123"/>
        <v>0.10200000000000001</v>
      </c>
      <c r="BB132" s="386">
        <f t="shared" si="124"/>
        <v>4.3313448102538601</v>
      </c>
      <c r="BC132">
        <f t="shared" si="96"/>
        <v>144</v>
      </c>
      <c r="BD132" s="604">
        <f t="shared" si="125"/>
        <v>0.97079953117262885</v>
      </c>
      <c r="BE132" s="614">
        <f t="shared" si="97"/>
        <v>55.435469989356335</v>
      </c>
      <c r="BF132" s="614">
        <f t="shared" si="98"/>
        <v>36.025969356783079</v>
      </c>
      <c r="BG132" s="9"/>
      <c r="BH132" s="4">
        <f t="shared" si="126"/>
        <v>97.079953117262889</v>
      </c>
      <c r="BI132" s="386">
        <f t="shared" si="127"/>
        <v>1.1401904784515824</v>
      </c>
      <c r="BJ132" s="386">
        <f t="shared" si="128"/>
        <v>2.1234847942116546</v>
      </c>
      <c r="BK132" s="386">
        <f t="shared" si="129"/>
        <v>0.84724275313566166</v>
      </c>
      <c r="BL132" s="386">
        <f t="shared" si="130"/>
        <v>0.29473424058480985</v>
      </c>
    </row>
    <row r="133" spans="7:64" x14ac:dyDescent="0.2">
      <c r="G133">
        <v>124</v>
      </c>
      <c r="H133" s="610">
        <f t="shared" si="59"/>
        <v>24.6</v>
      </c>
      <c r="I133" s="4" t="str">
        <f t="shared" si="60"/>
        <v>BUCK</v>
      </c>
      <c r="J133">
        <f t="shared" si="99"/>
        <v>1</v>
      </c>
      <c r="K133">
        <f t="shared" si="61"/>
        <v>12</v>
      </c>
      <c r="L133" s="4">
        <f t="shared" si="62"/>
        <v>6.5040650406504064</v>
      </c>
      <c r="M133" s="4">
        <f t="shared" si="63"/>
        <v>12</v>
      </c>
      <c r="N133" s="386">
        <f t="shared" si="64"/>
        <v>0.49320837390457639</v>
      </c>
      <c r="O133" s="386">
        <f t="shared" si="115"/>
        <v>0</v>
      </c>
      <c r="P133" s="4">
        <f t="shared" si="65"/>
        <v>5.2432877291843631</v>
      </c>
      <c r="Q133" s="386">
        <f t="shared" si="66"/>
        <v>12.095081873124489</v>
      </c>
      <c r="R133" s="386">
        <f t="shared" si="116"/>
        <v>0.51007277638836845</v>
      </c>
      <c r="S133" s="386">
        <f t="shared" si="117"/>
        <v>0.63895474338623826</v>
      </c>
      <c r="T133" s="386">
        <f t="shared" si="118"/>
        <v>1.1490275197746067</v>
      </c>
      <c r="U133" s="4">
        <f t="shared" si="68"/>
        <v>1.5136067909416269</v>
      </c>
      <c r="V133" s="386">
        <f t="shared" si="119"/>
        <v>4.5820110351692195E-3</v>
      </c>
      <c r="W133" s="386">
        <f t="shared" si="120"/>
        <v>4.5820110351692195E-3</v>
      </c>
      <c r="X133" s="386">
        <f t="shared" si="69"/>
        <v>6.0469830108417595</v>
      </c>
      <c r="Y133" s="386">
        <f t="shared" si="121"/>
        <v>7.3132007066817731E-2</v>
      </c>
      <c r="Z133" s="603">
        <f t="shared" si="122"/>
        <v>7.3132007066817731E-2</v>
      </c>
      <c r="AA133" s="386">
        <f t="shared" si="70"/>
        <v>8.4942303328902788</v>
      </c>
      <c r="AB133" s="386">
        <f t="shared" si="71"/>
        <v>0.41126610900470179</v>
      </c>
      <c r="AC133" s="386">
        <f t="shared" si="72"/>
        <v>0.25256931818181821</v>
      </c>
      <c r="AD133">
        <f t="shared" si="73"/>
        <v>0</v>
      </c>
      <c r="AE133" s="386">
        <f t="shared" si="74"/>
        <v>0.72333179800336367</v>
      </c>
      <c r="AF133" s="386">
        <f t="shared" si="75"/>
        <v>8.6104039724853383</v>
      </c>
      <c r="AG133" s="386">
        <f t="shared" si="76"/>
        <v>0.42259262244553042</v>
      </c>
      <c r="AH133" s="386">
        <f t="shared" si="77"/>
        <v>0.24</v>
      </c>
      <c r="AI133" s="386">
        <f t="shared" si="78"/>
        <v>0.72376409591003876</v>
      </c>
      <c r="AJ133" s="386">
        <f t="shared" si="79"/>
        <v>0</v>
      </c>
      <c r="AK133" s="386">
        <f t="shared" si="80"/>
        <v>0</v>
      </c>
      <c r="AL133" s="386">
        <f t="shared" si="81"/>
        <v>0</v>
      </c>
      <c r="AM133">
        <f t="shared" si="82"/>
        <v>0</v>
      </c>
      <c r="AN133" s="386">
        <f t="shared" si="83"/>
        <v>0</v>
      </c>
      <c r="AO133" s="386">
        <f t="shared" si="84"/>
        <v>12.095081873124489</v>
      </c>
      <c r="AP133" s="386">
        <f t="shared" si="85"/>
        <v>0.2779529104834107</v>
      </c>
      <c r="AQ133" s="386">
        <f t="shared" si="86"/>
        <v>0</v>
      </c>
      <c r="AR133" s="386">
        <f t="shared" si="87"/>
        <v>0.29431399688971083</v>
      </c>
      <c r="AS133" s="386">
        <f t="shared" si="88"/>
        <v>0.2779529104834107</v>
      </c>
      <c r="AT133" s="386">
        <f t="shared" si="89"/>
        <v>0</v>
      </c>
      <c r="AU133" s="386">
        <f t="shared" si="90"/>
        <v>0.38637270000000001</v>
      </c>
      <c r="AV133" s="386">
        <f t="shared" si="91"/>
        <v>0.29655622627756523</v>
      </c>
      <c r="AW133" s="386">
        <f t="shared" si="92"/>
        <v>0.59328000000000003</v>
      </c>
      <c r="AX133" s="386">
        <f t="shared" si="93"/>
        <v>3.6000000000000004E-2</v>
      </c>
      <c r="AY133" s="386">
        <f t="shared" si="94"/>
        <v>6.6000000000000003E-2</v>
      </c>
      <c r="AZ133" s="386">
        <f t="shared" si="95"/>
        <v>4.3499999999999997E-2</v>
      </c>
      <c r="BA133" s="386">
        <f t="shared" si="123"/>
        <v>0.10200000000000001</v>
      </c>
      <c r="BB133" s="386">
        <f t="shared" si="124"/>
        <v>4.3463603549572714</v>
      </c>
      <c r="BC133">
        <f t="shared" si="96"/>
        <v>144</v>
      </c>
      <c r="BD133" s="604">
        <f t="shared" si="125"/>
        <v>0.97070126732764128</v>
      </c>
      <c r="BE133" s="614">
        <f t="shared" si="97"/>
        <v>55.485224900168184</v>
      </c>
      <c r="BF133" s="614">
        <f t="shared" si="98"/>
        <v>36.188204795501939</v>
      </c>
      <c r="BG133" s="9"/>
      <c r="BH133" s="4">
        <f t="shared" si="126"/>
        <v>97.070126732764123</v>
      </c>
      <c r="BI133" s="386">
        <f t="shared" si="127"/>
        <v>1.1490275197746067</v>
      </c>
      <c r="BJ133" s="386">
        <f t="shared" si="128"/>
        <v>2.1277825908031134</v>
      </c>
      <c r="BK133" s="386">
        <f t="shared" si="129"/>
        <v>0.85126708691003872</v>
      </c>
      <c r="BL133" s="386">
        <f t="shared" si="130"/>
        <v>0.29655622627756523</v>
      </c>
    </row>
    <row r="134" spans="7:64" x14ac:dyDescent="0.2">
      <c r="G134">
        <v>125</v>
      </c>
      <c r="H134" s="610">
        <f t="shared" si="59"/>
        <v>24.75</v>
      </c>
      <c r="I134" s="4" t="str">
        <f t="shared" si="60"/>
        <v>BUCK</v>
      </c>
      <c r="J134">
        <f t="shared" si="99"/>
        <v>1</v>
      </c>
      <c r="K134">
        <f t="shared" si="61"/>
        <v>12</v>
      </c>
      <c r="L134" s="4">
        <f t="shared" si="62"/>
        <v>6.4646464646464636</v>
      </c>
      <c r="M134" s="4">
        <f t="shared" si="63"/>
        <v>12</v>
      </c>
      <c r="N134" s="386">
        <f t="shared" si="64"/>
        <v>0.49022501814662472</v>
      </c>
      <c r="O134" s="386">
        <f t="shared" si="115"/>
        <v>0</v>
      </c>
      <c r="P134" s="4">
        <f t="shared" si="65"/>
        <v>5.2741536548074404</v>
      </c>
      <c r="Q134" s="386">
        <f t="shared" si="66"/>
        <v>12.096200149821565</v>
      </c>
      <c r="R134" s="386">
        <f t="shared" si="116"/>
        <v>0.51017095020377534</v>
      </c>
      <c r="S134" s="386">
        <f t="shared" si="117"/>
        <v>0.64765421507428378</v>
      </c>
      <c r="T134" s="386">
        <f t="shared" si="118"/>
        <v>1.1578251652780591</v>
      </c>
      <c r="U134" s="4">
        <f t="shared" si="68"/>
        <v>1.5225170161752621</v>
      </c>
      <c r="V134" s="386">
        <f t="shared" si="119"/>
        <v>4.6361161290864473E-3</v>
      </c>
      <c r="W134" s="386">
        <f t="shared" si="120"/>
        <v>4.6361161290864473E-3</v>
      </c>
      <c r="X134" s="386">
        <f t="shared" si="69"/>
        <v>6.0469441692600121</v>
      </c>
      <c r="Y134" s="386">
        <f t="shared" si="121"/>
        <v>7.313106757229533E-2</v>
      </c>
      <c r="Z134" s="603">
        <f t="shared" si="122"/>
        <v>7.313106757229533E-2</v>
      </c>
      <c r="AA134" s="386">
        <f t="shared" si="70"/>
        <v>8.4692840706797412</v>
      </c>
      <c r="AB134" s="386">
        <f t="shared" si="71"/>
        <v>0.40885400421825679</v>
      </c>
      <c r="AC134" s="386">
        <f t="shared" si="72"/>
        <v>0.25410937499999997</v>
      </c>
      <c r="AD134">
        <f t="shared" si="73"/>
        <v>0</v>
      </c>
      <c r="AE134" s="386">
        <f t="shared" si="74"/>
        <v>0.72200206639842734</v>
      </c>
      <c r="AF134" s="386">
        <f t="shared" si="75"/>
        <v>8.6365088661260376</v>
      </c>
      <c r="AG134" s="386">
        <f t="shared" si="76"/>
        <v>0.42515892674963984</v>
      </c>
      <c r="AH134" s="386">
        <f t="shared" si="77"/>
        <v>0.24</v>
      </c>
      <c r="AI134" s="386">
        <f t="shared" si="78"/>
        <v>0.72697490043851265</v>
      </c>
      <c r="AJ134" s="386">
        <f t="shared" si="79"/>
        <v>0</v>
      </c>
      <c r="AK134" s="386">
        <f t="shared" si="80"/>
        <v>0</v>
      </c>
      <c r="AL134" s="386">
        <f t="shared" si="81"/>
        <v>0</v>
      </c>
      <c r="AM134">
        <f t="shared" si="82"/>
        <v>0</v>
      </c>
      <c r="AN134" s="386">
        <f t="shared" si="83"/>
        <v>0</v>
      </c>
      <c r="AO134" s="386">
        <f t="shared" si="84"/>
        <v>12.096200149821565</v>
      </c>
      <c r="AP134" s="386">
        <f t="shared" si="85"/>
        <v>0.27800431032263218</v>
      </c>
      <c r="AQ134" s="386">
        <f t="shared" si="86"/>
        <v>0</v>
      </c>
      <c r="AR134" s="386">
        <f t="shared" si="87"/>
        <v>0.2943716265247448</v>
      </c>
      <c r="AS134" s="386">
        <f t="shared" si="88"/>
        <v>0.27800431032263218</v>
      </c>
      <c r="AT134" s="386">
        <f t="shared" si="89"/>
        <v>0</v>
      </c>
      <c r="AU134" s="386">
        <f t="shared" si="90"/>
        <v>0.3887352</v>
      </c>
      <c r="AV134" s="386">
        <f t="shared" si="91"/>
        <v>0.29835714157869464</v>
      </c>
      <c r="AW134" s="386">
        <f t="shared" si="92"/>
        <v>0.59328000000000003</v>
      </c>
      <c r="AX134" s="386">
        <f t="shared" si="93"/>
        <v>3.6000000000000004E-2</v>
      </c>
      <c r="AY134" s="386">
        <f t="shared" si="94"/>
        <v>6.6000000000000003E-2</v>
      </c>
      <c r="AZ134" s="386">
        <f t="shared" si="95"/>
        <v>4.3499999999999997E-2</v>
      </c>
      <c r="BA134" s="386">
        <f t="shared" si="123"/>
        <v>0.10200000000000001</v>
      </c>
      <c r="BB134" s="386">
        <f t="shared" si="124"/>
        <v>4.3613132839198201</v>
      </c>
      <c r="BC134">
        <f t="shared" si="96"/>
        <v>144</v>
      </c>
      <c r="BD134" s="604">
        <f t="shared" si="125"/>
        <v>0.97060343301509089</v>
      </c>
      <c r="BE134" s="614">
        <f t="shared" si="97"/>
        <v>55.536863319921373</v>
      </c>
      <c r="BF134" s="614">
        <f t="shared" si="98"/>
        <v>36.34874502192563</v>
      </c>
      <c r="BG134" s="9"/>
      <c r="BH134" s="4">
        <f t="shared" si="126"/>
        <v>97.060343301509093</v>
      </c>
      <c r="BI134" s="386">
        <f t="shared" si="127"/>
        <v>1.1578251652780591</v>
      </c>
      <c r="BJ134" s="386">
        <f t="shared" si="128"/>
        <v>2.132083793361685</v>
      </c>
      <c r="BK134" s="386">
        <f t="shared" si="129"/>
        <v>0.85525751643851267</v>
      </c>
      <c r="BL134" s="386">
        <f t="shared" si="130"/>
        <v>0.29835714157869464</v>
      </c>
    </row>
    <row r="135" spans="7:64" x14ac:dyDescent="0.2">
      <c r="G135">
        <v>126</v>
      </c>
      <c r="H135" s="610">
        <f t="shared" si="59"/>
        <v>24.9</v>
      </c>
      <c r="I135" s="4" t="str">
        <f t="shared" si="60"/>
        <v>BUCK</v>
      </c>
      <c r="J135">
        <f t="shared" si="99"/>
        <v>1</v>
      </c>
      <c r="K135">
        <f t="shared" si="61"/>
        <v>12</v>
      </c>
      <c r="L135" s="4">
        <f t="shared" si="62"/>
        <v>6.4257028112449799</v>
      </c>
      <c r="M135" s="4">
        <f t="shared" si="63"/>
        <v>12</v>
      </c>
      <c r="N135" s="386">
        <f t="shared" si="64"/>
        <v>0.48727753727753731</v>
      </c>
      <c r="O135" s="386">
        <f t="shared" si="115"/>
        <v>0</v>
      </c>
      <c r="P135" s="4">
        <f t="shared" si="65"/>
        <v>5.3046484173037367</v>
      </c>
      <c r="Q135" s="386">
        <f t="shared" si="66"/>
        <v>12.097311322601133</v>
      </c>
      <c r="R135" s="386">
        <f t="shared" si="116"/>
        <v>0.51026851082223934</v>
      </c>
      <c r="S135" s="386">
        <f t="shared" si="117"/>
        <v>0.65631452101681409</v>
      </c>
      <c r="T135" s="386">
        <f t="shared" si="118"/>
        <v>1.1665830318390533</v>
      </c>
      <c r="U135" s="4">
        <f t="shared" si="68"/>
        <v>1.5313200958433175</v>
      </c>
      <c r="V135" s="386">
        <f t="shared" si="119"/>
        <v>4.6898824718671749E-3</v>
      </c>
      <c r="W135" s="386">
        <f t="shared" si="120"/>
        <v>4.6898824718671749E-3</v>
      </c>
      <c r="X135" s="386">
        <f t="shared" si="69"/>
        <v>6.0466972606541436</v>
      </c>
      <c r="Y135" s="386">
        <f t="shared" si="121"/>
        <v>7.3125095524004646E-2</v>
      </c>
      <c r="Z135" s="603">
        <f t="shared" si="122"/>
        <v>7.3125095524004646E-2</v>
      </c>
      <c r="AA135" s="386">
        <f t="shared" si="70"/>
        <v>8.4445605308074878</v>
      </c>
      <c r="AB135" s="386">
        <f t="shared" si="71"/>
        <v>0.40647043458328841</v>
      </c>
      <c r="AC135" s="386">
        <f t="shared" si="72"/>
        <v>0.25564943181818173</v>
      </c>
      <c r="AD135">
        <f t="shared" si="73"/>
        <v>0</v>
      </c>
      <c r="AE135" s="386">
        <f t="shared" si="74"/>
        <v>0.72070926830031679</v>
      </c>
      <c r="AF135" s="386">
        <f t="shared" si="75"/>
        <v>8.6622363554374306</v>
      </c>
      <c r="AG135" s="386">
        <f t="shared" si="76"/>
        <v>0.42769573046153309</v>
      </c>
      <c r="AH135" s="386">
        <f t="shared" si="77"/>
        <v>0.24</v>
      </c>
      <c r="AI135" s="386">
        <f t="shared" si="78"/>
        <v>0.73015233796867474</v>
      </c>
      <c r="AJ135" s="386">
        <f t="shared" si="79"/>
        <v>0</v>
      </c>
      <c r="AK135" s="386">
        <f t="shared" si="80"/>
        <v>0</v>
      </c>
      <c r="AL135" s="386">
        <f t="shared" si="81"/>
        <v>0</v>
      </c>
      <c r="AM135">
        <f t="shared" si="82"/>
        <v>0</v>
      </c>
      <c r="AN135" s="386">
        <f t="shared" si="83"/>
        <v>0</v>
      </c>
      <c r="AO135" s="386">
        <f t="shared" si="84"/>
        <v>12.097311322601133</v>
      </c>
      <c r="AP135" s="386">
        <f t="shared" si="85"/>
        <v>0.27805538834827376</v>
      </c>
      <c r="AQ135" s="386">
        <f t="shared" si="86"/>
        <v>0</v>
      </c>
      <c r="AR135" s="386">
        <f t="shared" si="87"/>
        <v>0.29442889658442073</v>
      </c>
      <c r="AS135" s="386">
        <f t="shared" si="88"/>
        <v>0.27805538834827376</v>
      </c>
      <c r="AT135" s="386">
        <f t="shared" si="89"/>
        <v>0</v>
      </c>
      <c r="AU135" s="386">
        <f t="shared" si="90"/>
        <v>0.39109769999999999</v>
      </c>
      <c r="AV135" s="386">
        <f t="shared" si="91"/>
        <v>0.30013735470984781</v>
      </c>
      <c r="AW135" s="386">
        <f t="shared" si="92"/>
        <v>0.59328000000000003</v>
      </c>
      <c r="AX135" s="386">
        <f t="shared" si="93"/>
        <v>3.6000000000000004E-2</v>
      </c>
      <c r="AY135" s="386">
        <f t="shared" si="94"/>
        <v>6.6000000000000003E-2</v>
      </c>
      <c r="AZ135" s="386">
        <f t="shared" si="95"/>
        <v>4.3499999999999997E-2</v>
      </c>
      <c r="BA135" s="386">
        <f t="shared" si="123"/>
        <v>0.10200000000000001</v>
      </c>
      <c r="BB135" s="386">
        <f t="shared" si="124"/>
        <v>4.3762035673981847</v>
      </c>
      <c r="BC135">
        <f t="shared" si="96"/>
        <v>144</v>
      </c>
      <c r="BD135" s="604">
        <f t="shared" si="125"/>
        <v>0.97050602817580278</v>
      </c>
      <c r="BE135" s="614">
        <f t="shared" si="97"/>
        <v>55.590348415015846</v>
      </c>
      <c r="BF135" s="614">
        <f t="shared" si="98"/>
        <v>36.507616898433739</v>
      </c>
      <c r="BG135" s="9"/>
      <c r="BH135" s="4">
        <f t="shared" si="126"/>
        <v>97.050602817580284</v>
      </c>
      <c r="BI135" s="386">
        <f t="shared" si="127"/>
        <v>1.1665830318390533</v>
      </c>
      <c r="BJ135" s="386">
        <f t="shared" si="128"/>
        <v>2.1363882028534125</v>
      </c>
      <c r="BK135" s="386">
        <f t="shared" si="129"/>
        <v>0.8592145789686747</v>
      </c>
      <c r="BL135" s="386">
        <f t="shared" si="130"/>
        <v>0.30013735470984781</v>
      </c>
    </row>
    <row r="136" spans="7:64" x14ac:dyDescent="0.2">
      <c r="G136">
        <v>127</v>
      </c>
      <c r="H136" s="610">
        <f t="shared" si="59"/>
        <v>25.05</v>
      </c>
      <c r="I136" s="4" t="str">
        <f t="shared" si="60"/>
        <v>BUCK</v>
      </c>
      <c r="J136">
        <f t="shared" si="99"/>
        <v>1</v>
      </c>
      <c r="K136">
        <f t="shared" si="61"/>
        <v>12</v>
      </c>
      <c r="L136" s="4">
        <f t="shared" si="62"/>
        <v>6.3872255489021947</v>
      </c>
      <c r="M136" s="4">
        <f t="shared" si="63"/>
        <v>12</v>
      </c>
      <c r="N136" s="386">
        <f t="shared" si="64"/>
        <v>0.48436528807076262</v>
      </c>
      <c r="O136" s="386">
        <f t="shared" si="115"/>
        <v>0</v>
      </c>
      <c r="P136" s="4">
        <f t="shared" si="65"/>
        <v>5.3347786715225265</v>
      </c>
      <c r="Q136" s="386">
        <f t="shared" si="66"/>
        <v>12.098415404073005</v>
      </c>
      <c r="R136" s="386">
        <f t="shared" si="116"/>
        <v>0.51036545915156828</v>
      </c>
      <c r="S136" s="386">
        <f t="shared" si="117"/>
        <v>0.66493530912130761</v>
      </c>
      <c r="T136" s="386">
        <f t="shared" si="118"/>
        <v>1.175300768272876</v>
      </c>
      <c r="U136" s="4">
        <f t="shared" si="68"/>
        <v>1.5400179510353025</v>
      </c>
      <c r="V136" s="386">
        <f t="shared" si="119"/>
        <v>4.743310579021943E-3</v>
      </c>
      <c r="W136" s="386">
        <f t="shared" si="120"/>
        <v>4.743310579021943E-3</v>
      </c>
      <c r="X136" s="386">
        <f t="shared" si="69"/>
        <v>6.0462495910848215</v>
      </c>
      <c r="Y136" s="386">
        <f t="shared" si="121"/>
        <v>7.3114268235386748E-2</v>
      </c>
      <c r="Z136" s="603">
        <f t="shared" si="122"/>
        <v>7.3114268235386748E-2</v>
      </c>
      <c r="AA136" s="386">
        <f t="shared" si="70"/>
        <v>8.4200563525251031</v>
      </c>
      <c r="AB136" s="386">
        <f t="shared" si="71"/>
        <v>0.40411488918428062</v>
      </c>
      <c r="AC136" s="386">
        <f t="shared" si="72"/>
        <v>0.25718948863636359</v>
      </c>
      <c r="AD136">
        <f t="shared" si="73"/>
        <v>0</v>
      </c>
      <c r="AE136" s="386">
        <f t="shared" si="74"/>
        <v>0.71945268634366477</v>
      </c>
      <c r="AF136" s="386">
        <f t="shared" si="75"/>
        <v>8.687594966952167</v>
      </c>
      <c r="AG136" s="386">
        <f t="shared" si="76"/>
        <v>0.43020354596593197</v>
      </c>
      <c r="AH136" s="386">
        <f t="shared" si="77"/>
        <v>0.24</v>
      </c>
      <c r="AI136" s="386">
        <f t="shared" si="78"/>
        <v>0.73329693423686082</v>
      </c>
      <c r="AJ136" s="386">
        <f t="shared" si="79"/>
        <v>0</v>
      </c>
      <c r="AK136" s="386">
        <f t="shared" si="80"/>
        <v>0</v>
      </c>
      <c r="AL136" s="386">
        <f t="shared" si="81"/>
        <v>0</v>
      </c>
      <c r="AM136">
        <f t="shared" si="82"/>
        <v>0</v>
      </c>
      <c r="AN136" s="386">
        <f t="shared" si="83"/>
        <v>0</v>
      </c>
      <c r="AO136" s="386">
        <f t="shared" si="84"/>
        <v>12.098415404073005</v>
      </c>
      <c r="AP136" s="386">
        <f t="shared" si="85"/>
        <v>0.27810614505007086</v>
      </c>
      <c r="AQ136" s="386">
        <f t="shared" si="86"/>
        <v>0</v>
      </c>
      <c r="AR136" s="386">
        <f t="shared" si="87"/>
        <v>0.29448580759448256</v>
      </c>
      <c r="AS136" s="386">
        <f t="shared" si="88"/>
        <v>0.27810614505007086</v>
      </c>
      <c r="AT136" s="386">
        <f t="shared" si="89"/>
        <v>0</v>
      </c>
      <c r="AU136" s="386">
        <f t="shared" si="90"/>
        <v>0.39346019999999998</v>
      </c>
      <c r="AV136" s="386">
        <f t="shared" si="91"/>
        <v>0.3018972252392505</v>
      </c>
      <c r="AW136" s="386">
        <f t="shared" si="92"/>
        <v>0.59328000000000003</v>
      </c>
      <c r="AX136" s="386">
        <f t="shared" si="93"/>
        <v>3.6000000000000004E-2</v>
      </c>
      <c r="AY136" s="386">
        <f t="shared" si="94"/>
        <v>6.6000000000000003E-2</v>
      </c>
      <c r="AZ136" s="386">
        <f t="shared" si="95"/>
        <v>4.3499999999999997E-2</v>
      </c>
      <c r="BA136" s="386">
        <f t="shared" si="123"/>
        <v>0.10200000000000001</v>
      </c>
      <c r="BB136" s="386">
        <f t="shared" si="124"/>
        <v>4.3910312005015433</v>
      </c>
      <c r="BC136">
        <f t="shared" si="96"/>
        <v>144</v>
      </c>
      <c r="BD136" s="604">
        <f t="shared" si="125"/>
        <v>0.97040905258911159</v>
      </c>
      <c r="BE136" s="614">
        <f t="shared" si="97"/>
        <v>55.64564431718324</v>
      </c>
      <c r="BF136" s="614">
        <f t="shared" si="98"/>
        <v>36.66484671184304</v>
      </c>
      <c r="BG136" s="9"/>
      <c r="BH136" s="4">
        <f t="shared" si="126"/>
        <v>97.040905258911152</v>
      </c>
      <c r="BI136" s="386">
        <f t="shared" si="127"/>
        <v>1.175300768272876</v>
      </c>
      <c r="BJ136" s="386">
        <f t="shared" si="128"/>
        <v>2.140695628175008</v>
      </c>
      <c r="BK136" s="386">
        <f t="shared" si="129"/>
        <v>0.86313880023686085</v>
      </c>
      <c r="BL136" s="386">
        <f t="shared" si="130"/>
        <v>0.3018972252392505</v>
      </c>
    </row>
    <row r="137" spans="7:64" x14ac:dyDescent="0.2">
      <c r="G137">
        <v>128</v>
      </c>
      <c r="H137" s="610">
        <f t="shared" ref="H137:H200" si="131">VIN_min+(VIN_max-VIN_min)*(G137/200)</f>
        <v>25.2</v>
      </c>
      <c r="I137" s="4" t="str">
        <f t="shared" ref="I137:I200" si="132">IF(H137&gt;VIN_BB_to_buck, "BUCK", IF(H137&lt;VIN_boost_to_BB,"BOOST","BUCK-BST"))</f>
        <v>BUCK</v>
      </c>
      <c r="J137">
        <f t="shared" si="99"/>
        <v>1</v>
      </c>
      <c r="K137">
        <f t="shared" ref="K137:K200" si="133">Iout</f>
        <v>12</v>
      </c>
      <c r="L137" s="4">
        <f t="shared" ref="L137:L200" si="134">Vout*K137/(H137*Efficiency)</f>
        <v>6.3492063492063489</v>
      </c>
      <c r="M137" s="4">
        <f t="shared" ref="M137:M200" si="135">Iout/(1-O137)</f>
        <v>12</v>
      </c>
      <c r="N137" s="386">
        <f t="shared" ref="N137:N200" si="136">CHOOSE(J137,(Vout+(Rdson2+Rs+Rdcr)*K137)/(H137+(Rs+Rdson2-Rdson1)*K137),1,IF(H137&lt;Vout,D_max_buck_BB,Vout/H137*(1-D_min_boost_exitBB_to_buck)))</f>
        <v>0.48148764258555132</v>
      </c>
      <c r="O137" s="386">
        <f t="shared" si="115"/>
        <v>0</v>
      </c>
      <c r="P137" s="4">
        <f t="shared" ref="P137:P200" si="137">MAX(0, CHOOSE(J137, (H137-(Rdson1+Rdcr)*K137-Vout)*N137/(Fsw*Lf), (H137-(Rdson4+Rdcr+Rs)*L137)*O137/(Fsw*Lf), IF(H137&lt;Vout, (H137-(Rdson4+Rdcr+Rs)*L137)*O137/(0.5*Fsw*Lf),(H137-(Rdson1+Rdcr)*K137-Vout)*N137/(0.5*Fsw*Lf))))</f>
        <v>5.3645509141655205</v>
      </c>
      <c r="Q137" s="386">
        <f t="shared" ref="Q137:Q200" si="138">CHOOSE(J137, SQRT(K137^2+(P137^2)/12), SQRT(L137^2+(P137^2)/12), SQRT(M137^2+(P137^2)/12))</f>
        <v>12.09951240928973</v>
      </c>
      <c r="R137" s="386">
        <f t="shared" si="116"/>
        <v>0.51046179631582711</v>
      </c>
      <c r="S137" s="386">
        <f t="shared" si="117"/>
        <v>0.67351625750753996</v>
      </c>
      <c r="T137" s="386">
        <f t="shared" si="118"/>
        <v>1.1839780538233671</v>
      </c>
      <c r="U137" s="4">
        <f t="shared" ref="U137:U200" si="139">IF(H137&gt;Vout, P137/SQRT(12), SQRT(O137/(1-O137))*SQRT(K137^2+(P137^2)/12))</f>
        <v>1.5486124571874582</v>
      </c>
      <c r="V137" s="386">
        <f t="shared" si="119"/>
        <v>4.7964010851123543E-3</v>
      </c>
      <c r="W137" s="386">
        <f t="shared" si="120"/>
        <v>4.7964010851123543E-3</v>
      </c>
      <c r="X137" s="386">
        <f t="shared" ref="X137:X200" si="140">IF(H137&gt;Vout, SQRT(N137*(1-N137))*SQRT(K137^2+(P137^2)/12), P137/SQRT(12))</f>
        <v>6.0456081904410315</v>
      </c>
      <c r="Y137" s="386">
        <f t="shared" si="121"/>
        <v>7.3098756784655369E-2</v>
      </c>
      <c r="Z137" s="603">
        <f t="shared" si="122"/>
        <v>7.3098756784655369E-2</v>
      </c>
      <c r="AA137" s="386">
        <f t="shared" ref="AA137:AA200" si="141">CHOOSE(J137, SQRT(N137)*SQRT(K137^2+(P137^2)/12), SQRT(L137^2+(P137^2)/12), SQRT(N137)*SQRT(M137^2+(P137^2)/12))</f>
        <v>8.3957682470398236</v>
      </c>
      <c r="AB137" s="386">
        <f t="shared" ref="AB137:AB200" si="142">Rdson1*AA137^2</f>
        <v>0.40178686941061226</v>
      </c>
      <c r="AC137" s="386">
        <f t="shared" ref="AC137:AC200" si="143">CHOOSE(J137, (H137*K137/2)*(Fsw)*(Tr_buck+Tf_buck), 0, (H137*M137/2)*(Fsw/2)*(Tr_buck+Tf_buck))</f>
        <v>0.25872954545454541</v>
      </c>
      <c r="AD137">
        <f t="shared" ref="AD137:AD200" si="144">IF(H137&gt;Vout, IF(K137&gt;P137/2,0,ABS(K137-P137/2)*Vsd_Q1*Deadtime*Fsw),0)</f>
        <v>0</v>
      </c>
      <c r="AE137" s="386">
        <f t="shared" ref="AE137:AE200" si="145">(AD137+AC137+AB137*(1+RdsonTopTc*Ta-RdsonTopTc*25))/(1-AB137*RdsonTopTc*ThetaJA_Q1)</f>
        <v>0.71823162183490863</v>
      </c>
      <c r="AF137" s="386">
        <f t="shared" ref="AF137:AF200" si="146">CHOOSE(J137, SQRT((1-N137))*SQRT(K137^2+(P137^2)/12), 0, SQRT((1-N137))*SQRT(M137^2+(P137^2)/12))</f>
        <v>8.7125929598801992</v>
      </c>
      <c r="AG137" s="386">
        <f t="shared" ref="AG137:AG200" si="147">Rdson2*AF137^2</f>
        <v>0.43268287368195785</v>
      </c>
      <c r="AH137" s="386">
        <f t="shared" ref="AH137:AH200" si="148">CHOOSE(J137, IF(K137&lt;P137/2,Deadtime*Fsw*IF(VfdSky_Q2&gt;0,0,Vsd_Q2)*(K137+P137/2),2*Deadtime*Fsw*IF(VfdSky_Q2&gt;0,0,Vsd_Q2)*K137),0, IF(K137&lt;P137/2,Deadtime*Fsw/2*IF(VfdSky_Q2&gt;0,0,Vsd_Q2)*(K137+P137/2),2*Deadtime*Fsw/2*IF(VfdSky_Q2&gt;0,0,Vsd_Q2)*K137))</f>
        <v>0.24</v>
      </c>
      <c r="AI137" s="386">
        <f t="shared" ref="AI137:AI200" si="149">(AH137+AG137*(1+RdsonBotTc*Ta-RdsonBotTc*25))/(1-AG137*RdsonBotTc*ThetaJA_Q2)</f>
        <v>0.73640920378156816</v>
      </c>
      <c r="AJ137" s="386">
        <f t="shared" ref="AJ137:AJ200" si="150">CHOOSE(J137, 0, SQRT(O137)*SQRT(L137^2+(P137^2)/12), SQRT(O137)*SQRT(M137^2+(P137^2)/12))</f>
        <v>0</v>
      </c>
      <c r="AK137" s="386">
        <f t="shared" ref="AK137:AK200" si="151">Rdson4*AJ137^2</f>
        <v>0</v>
      </c>
      <c r="AL137" s="386">
        <f t="shared" ref="AL137:AL200" si="152">CHOOSE(J137, 0, (Vout*L137/2)*(Fsw)*(Tr_boost+Tf_boost), (Vout*Iout/2)*(Fsw/2)*(Tr_boost+Tf_boost))</f>
        <v>0</v>
      </c>
      <c r="AM137">
        <f t="shared" ref="AM137:AM200" si="153">IF(H137&gt;Vout, 0, IF(L137&gt;P137/2,0,ABS(L137-P137/2)*Vsd_Q4*Deadtime*Fsw))</f>
        <v>0</v>
      </c>
      <c r="AN137" s="386">
        <f t="shared" ref="AN137:AN200" si="154">(AM137+AL137+AK137*(1+RdsonTopTc*Ta-RdsonTopTc*25))/(1-AK137*RdsonTopTc*ThetaJA_Q4)</f>
        <v>0</v>
      </c>
      <c r="AO137" s="386">
        <f t="shared" ref="AO137:AO200" si="155">CHOOSE(J137, SQRT(Iout^2+(P137^2)/12), SQRT(1-O137)*SQRT(L137^2+(P137^2)/12), SQRT(1-O137)*SQRT(M137^2+(P137^2)/12))</f>
        <v>12.09951240928973</v>
      </c>
      <c r="AP137" s="386">
        <f t="shared" ref="AP137:AP200" si="156">Rdson3*AO137^2</f>
        <v>0.27815658103085672</v>
      </c>
      <c r="AQ137" s="386">
        <f t="shared" ref="AQ137:AQ200" si="157">CHOOSE(J137, 0, IF(L137&lt;P137/2,Deadtime*Fsw*IF(VfdSky_Q3&gt;0,0,Vsd_Q3)*(L137+P137/2), 2*Deadtime*Fsw*IF(VfdSky_Q3&gt;0,0,Vsd_Q3)*L137), IF(L137&lt;P137/2,Deadtime*Fsw/2*IF(VfdSky_Q3&gt;0,0,Vsd_Q3)*(L137+P137/2), 2*Deadtime*Fsw/2*IF(VfdSky_Q3&gt;0,0,Vsd_Q3)*L137))</f>
        <v>0</v>
      </c>
      <c r="AR137" s="386">
        <f t="shared" ref="AR137:AR200" si="158">(AQ137+AP137*(1+RdsonBotTc*Ta-RdsonBotTc*25))/(1-AP137*RdsonBotTc*ThetaJA_Q3)</f>
        <v>0.29454236020768232</v>
      </c>
      <c r="AS137" s="386">
        <f t="shared" ref="AS137:AS200" si="159">CHOOSE(J137, Rdson3*Q137^2, Rdson1*Q137^2, 0)</f>
        <v>0.27815658103085672</v>
      </c>
      <c r="AT137" s="386">
        <f t="shared" ref="AT137:AT200" si="160">CHOOSE(J137, 2*Deadtime*Fsw*IF(VfdSky_Q2&gt;0,VfdSky_Q2,0)*K137, 2*Deadtime*Fsw*IF(VfdSky_Q3&gt;0,VfdSky_Q3,0)*L137, 2*Deadtime*Fsw/2*IF(VfdSky_Q2&gt;0,VfdSky_Q2,0)*K137+2*Deadtime*Fsw/2*IF(VfdSky_Q3&gt;0,VfdSky_Q3,0)*L137)</f>
        <v>0</v>
      </c>
      <c r="AU137" s="386">
        <f t="shared" ref="AU137:AU200" si="161">CHOOSE(J137, IF(QrrSky_Q2&gt;0,QrrSky_Q2,Qrr_Q2)*Fsw*(H137-K137*Rdson1), IF(QrrSky_Q3&gt;0,QrrSky_Q3,Qrr_Q3)*Fsw*Vout,  IF(QrrSky_Q2&gt;0,QrrSky_Q2,Qrr_Q2)*Fsw/2*(H137-K137*Rdson1)+IF(QrrSky_Q3&gt;0,QrrSky_Q3,Qrr_Q3)*Fsw/2*Vout)</f>
        <v>0.39582269999999997</v>
      </c>
      <c r="AV137" s="386">
        <f t="shared" ref="AV137:AV200" si="162">CHOOSE(J137, Rs*AF137^2, Rs*AJ137^2, Rs*(AF137^2+AJ137^2))</f>
        <v>0.30363710433821606</v>
      </c>
      <c r="AW137" s="386">
        <f t="shared" ref="AW137:AW200" si="163">Rshunt_std/1000*Iout^2</f>
        <v>0.59328000000000003</v>
      </c>
      <c r="AX137" s="386">
        <f t="shared" ref="AX137:AX200" si="164">IF(Vout&gt;8, Iq*Vout, Iq*H137)</f>
        <v>3.6000000000000004E-2</v>
      </c>
      <c r="AY137" s="386">
        <f t="shared" ref="AY137:AY200" si="165">CHOOSE(J137, (Qg_Q1+Qg_Q2)*Fsw, (Qg_Q3+Qg_Q4)*Fsw, (Qg_Q1+Qg_Q2+Qg_Q3+Qg_Q4)*Fsw/2)*IF(Vout&gt;8, Vout, H137)</f>
        <v>6.6000000000000003E-2</v>
      </c>
      <c r="AZ137" s="386">
        <f t="shared" ref="AZ137:AZ200" si="166">(Vin-Vdd)*Fsw*(Qg_Q1+Qg_Q2)+(RdsonDRT+RdsonDRT2)*Fsw*Qg_Q1*Vdd/(RdsonDRT+2*Rgate1+RdsonDRT2)+(RdsonDRB+RdsonDRB2)*Fsw*Qg_Q2*Vdd/(RdsonDRB+2*Rgate2+RdsonDRB2)</f>
        <v>4.3499999999999997E-2</v>
      </c>
      <c r="BA137" s="386">
        <f t="shared" si="123"/>
        <v>0.10200000000000001</v>
      </c>
      <c r="BB137" s="386">
        <f t="shared" si="124"/>
        <v>4.4057962018555097</v>
      </c>
      <c r="BC137">
        <f t="shared" ref="BC137:BC200" si="167">Vout*K137</f>
        <v>144</v>
      </c>
      <c r="BD137" s="604">
        <f t="shared" si="125"/>
        <v>0.97031250588175866</v>
      </c>
      <c r="BE137" s="614">
        <f t="shared" ref="BE137:BE200" si="168">IF(H137&gt;Vout,ThetaJA_Q1*(AE137+AU137),ThetaJA_Q4*(AN137+AU137))</f>
        <v>55.70271609174543</v>
      </c>
      <c r="BF137" s="614">
        <f t="shared" ref="BF137:BF200" si="169">IF(H137&gt;Vout, AI137*ThetaJA_Q2, ThetaJA_Q3*AR137)</f>
        <v>36.82046018907841</v>
      </c>
      <c r="BG137" s="9"/>
      <c r="BH137" s="4">
        <f t="shared" si="126"/>
        <v>97.031250588175865</v>
      </c>
      <c r="BI137" s="386">
        <f t="shared" si="127"/>
        <v>1.1839780538233671</v>
      </c>
      <c r="BJ137" s="386">
        <f t="shared" si="128"/>
        <v>2.1450058858241592</v>
      </c>
      <c r="BK137" s="386">
        <f t="shared" si="129"/>
        <v>0.86703069478156813</v>
      </c>
      <c r="BL137" s="386">
        <f t="shared" si="130"/>
        <v>0.30363710433821606</v>
      </c>
    </row>
    <row r="138" spans="7:64" x14ac:dyDescent="0.2">
      <c r="G138">
        <v>129</v>
      </c>
      <c r="H138" s="610">
        <f t="shared" si="131"/>
        <v>25.35</v>
      </c>
      <c r="I138" s="4" t="str">
        <f t="shared" si="132"/>
        <v>BUCK</v>
      </c>
      <c r="J138">
        <f t="shared" ref="J138:J201" si="170">IF(I138="BOOST",2, IF(I138="BUCK", 1,3))</f>
        <v>1</v>
      </c>
      <c r="K138">
        <f t="shared" si="133"/>
        <v>12</v>
      </c>
      <c r="L138" s="4">
        <f t="shared" si="134"/>
        <v>6.3116370808678495</v>
      </c>
      <c r="M138" s="4">
        <f t="shared" si="135"/>
        <v>12</v>
      </c>
      <c r="N138" s="386">
        <f t="shared" si="136"/>
        <v>0.47864398771556815</v>
      </c>
      <c r="O138" s="386">
        <f t="shared" ref="O138:O169" si="171">CHOOSE(J138,0,(Vout+(Rdson3+Rdcr)*L138-H138)/(Vout+(Rdson3-Rdson4-Rs)*L138),IF(H138&gt;Vout,D_min_boost_exitBB_to_buck, (Vout-H138*D_max_buck_BB)/Vout))</f>
        <v>0</v>
      </c>
      <c r="P138" s="4">
        <f t="shared" si="137"/>
        <v>5.3939714884569572</v>
      </c>
      <c r="Q138" s="386">
        <f t="shared" si="138"/>
        <v>12.100602355593317</v>
      </c>
      <c r="R138" s="386">
        <f t="shared" si="116"/>
        <v>0.5105575236419807</v>
      </c>
      <c r="S138" s="386">
        <f t="shared" si="117"/>
        <v>0.68205707307984831</v>
      </c>
      <c r="T138" s="386">
        <f t="shared" si="118"/>
        <v>1.1926145967218291</v>
      </c>
      <c r="U138" s="4">
        <f t="shared" si="139"/>
        <v>1.5571054454308955</v>
      </c>
      <c r="V138" s="386">
        <f t="shared" si="119"/>
        <v>4.8491547363810955E-3</v>
      </c>
      <c r="W138" s="386">
        <f t="shared" si="120"/>
        <v>4.8491547363810955E-3</v>
      </c>
      <c r="X138" s="386">
        <f t="shared" si="140"/>
        <v>6.0447798246962057</v>
      </c>
      <c r="Y138" s="386">
        <f t="shared" si="121"/>
        <v>7.3078726258108587E-2</v>
      </c>
      <c r="Z138" s="603">
        <f t="shared" si="122"/>
        <v>7.3078726258108587E-2</v>
      </c>
      <c r="AA138" s="386">
        <f t="shared" si="141"/>
        <v>8.371692995510374</v>
      </c>
      <c r="AB138" s="386">
        <f t="shared" si="142"/>
        <v>0.39948588858314155</v>
      </c>
      <c r="AC138" s="386">
        <f t="shared" si="143"/>
        <v>0.26026960227272727</v>
      </c>
      <c r="AD138">
        <f t="shared" si="144"/>
        <v>0</v>
      </c>
      <c r="AE138" s="386">
        <f t="shared" si="145"/>
        <v>0.71704539414256729</v>
      </c>
      <c r="AF138" s="386">
        <f t="shared" si="146"/>
        <v>8.737238336975425</v>
      </c>
      <c r="AG138" s="386">
        <f t="shared" si="147"/>
        <v>0.43513420241554468</v>
      </c>
      <c r="AH138" s="386">
        <f t="shared" si="148"/>
        <v>0.24</v>
      </c>
      <c r="AI138" s="386">
        <f t="shared" si="149"/>
        <v>0.73948965024645275</v>
      </c>
      <c r="AJ138" s="386">
        <f t="shared" si="150"/>
        <v>0</v>
      </c>
      <c r="AK138" s="386">
        <f t="shared" si="151"/>
        <v>0</v>
      </c>
      <c r="AL138" s="386">
        <f t="shared" si="152"/>
        <v>0</v>
      </c>
      <c r="AM138">
        <f t="shared" si="153"/>
        <v>0</v>
      </c>
      <c r="AN138" s="386">
        <f t="shared" si="154"/>
        <v>0</v>
      </c>
      <c r="AO138" s="386">
        <f t="shared" si="155"/>
        <v>12.100602355593317</v>
      </c>
      <c r="AP138" s="386">
        <f t="shared" si="156"/>
        <v>0.27820669699956202</v>
      </c>
      <c r="AQ138" s="386">
        <f t="shared" si="157"/>
        <v>0</v>
      </c>
      <c r="AR138" s="386">
        <f t="shared" si="158"/>
        <v>0.29459855519594336</v>
      </c>
      <c r="AS138" s="386">
        <f t="shared" si="159"/>
        <v>0.27820669699956202</v>
      </c>
      <c r="AT138" s="386">
        <f t="shared" si="160"/>
        <v>0</v>
      </c>
      <c r="AU138" s="386">
        <f t="shared" si="161"/>
        <v>0.39818520000000002</v>
      </c>
      <c r="AV138" s="386">
        <f t="shared" si="162"/>
        <v>0.30535733502845241</v>
      </c>
      <c r="AW138" s="386">
        <f t="shared" si="163"/>
        <v>0.59328000000000003</v>
      </c>
      <c r="AX138" s="386">
        <f t="shared" si="164"/>
        <v>3.6000000000000004E-2</v>
      </c>
      <c r="AY138" s="386">
        <f t="shared" si="165"/>
        <v>6.6000000000000003E-2</v>
      </c>
      <c r="AZ138" s="386">
        <f t="shared" si="166"/>
        <v>4.3499999999999997E-2</v>
      </c>
      <c r="BA138" s="386">
        <f t="shared" si="123"/>
        <v>0.10200000000000001</v>
      </c>
      <c r="BB138" s="386">
        <f t="shared" si="124"/>
        <v>4.4204986123297338</v>
      </c>
      <c r="BC138">
        <f t="shared" si="167"/>
        <v>144</v>
      </c>
      <c r="BD138" s="604">
        <f t="shared" si="125"/>
        <v>0.97021638753636075</v>
      </c>
      <c r="BE138" s="614">
        <f t="shared" si="168"/>
        <v>55.761529707128368</v>
      </c>
      <c r="BF138" s="614">
        <f t="shared" si="169"/>
        <v>36.974482512322638</v>
      </c>
      <c r="BG138" s="9"/>
      <c r="BH138" s="4">
        <f t="shared" si="126"/>
        <v>97.021638753636068</v>
      </c>
      <c r="BI138" s="386">
        <f t="shared" si="127"/>
        <v>1.1926145967218291</v>
      </c>
      <c r="BJ138" s="386">
        <f t="shared" si="128"/>
        <v>2.1493187995849636</v>
      </c>
      <c r="BK138" s="386">
        <f t="shared" si="129"/>
        <v>0.87089076624645279</v>
      </c>
      <c r="BL138" s="386">
        <f t="shared" si="130"/>
        <v>0.30535733502845241</v>
      </c>
    </row>
    <row r="139" spans="7:64" x14ac:dyDescent="0.2">
      <c r="G139">
        <v>130</v>
      </c>
      <c r="H139" s="610">
        <f t="shared" si="131"/>
        <v>25.5</v>
      </c>
      <c r="I139" s="4" t="str">
        <f t="shared" si="132"/>
        <v>BUCK</v>
      </c>
      <c r="J139">
        <f t="shared" si="170"/>
        <v>1</v>
      </c>
      <c r="K139">
        <f t="shared" si="133"/>
        <v>12</v>
      </c>
      <c r="L139" s="4">
        <f t="shared" si="134"/>
        <v>6.2745098039215685</v>
      </c>
      <c r="M139" s="4">
        <f t="shared" si="135"/>
        <v>12</v>
      </c>
      <c r="N139" s="386">
        <f t="shared" si="136"/>
        <v>0.47583372475340535</v>
      </c>
      <c r="O139" s="386">
        <f t="shared" si="171"/>
        <v>0</v>
      </c>
      <c r="P139" s="4">
        <f t="shared" si="137"/>
        <v>5.423046588649151</v>
      </c>
      <c r="Q139" s="386">
        <f t="shared" si="138"/>
        <v>12.101685262470193</v>
      </c>
      <c r="R139" s="386">
        <f t="shared" si="116"/>
        <v>0.5106526426472493</v>
      </c>
      <c r="S139" s="386">
        <f t="shared" si="117"/>
        <v>0.69055749016400336</v>
      </c>
      <c r="T139" s="386">
        <f t="shared" si="118"/>
        <v>1.2012101328112528</v>
      </c>
      <c r="U139" s="4">
        <f t="shared" si="139"/>
        <v>1.5654987038922346</v>
      </c>
      <c r="V139" s="386">
        <f t="shared" si="119"/>
        <v>4.9015723837765321E-3</v>
      </c>
      <c r="W139" s="386">
        <f t="shared" si="120"/>
        <v>4.9015723837765321E-3</v>
      </c>
      <c r="X139" s="386">
        <f t="shared" si="140"/>
        <v>6.0437710075238131</v>
      </c>
      <c r="Y139" s="386">
        <f t="shared" si="121"/>
        <v>7.3054335982770807E-2</v>
      </c>
      <c r="Z139" s="603">
        <f t="shared" si="122"/>
        <v>7.3054335982770807E-2</v>
      </c>
      <c r="AA139" s="386">
        <f t="shared" si="141"/>
        <v>8.3478274471116602</v>
      </c>
      <c r="AB139" s="386">
        <f t="shared" si="142"/>
        <v>0.39721147159447939</v>
      </c>
      <c r="AC139" s="386">
        <f t="shared" si="143"/>
        <v>0.26180965909090909</v>
      </c>
      <c r="AD139">
        <f t="shared" si="144"/>
        <v>0</v>
      </c>
      <c r="AE139" s="386">
        <f t="shared" si="145"/>
        <v>0.71589334011146055</v>
      </c>
      <c r="AF139" s="386">
        <f t="shared" si="146"/>
        <v>8.7615388548552069</v>
      </c>
      <c r="AG139" s="386">
        <f t="shared" si="147"/>
        <v>0.43755800969928366</v>
      </c>
      <c r="AH139" s="386">
        <f t="shared" si="148"/>
        <v>0.24</v>
      </c>
      <c r="AI139" s="386">
        <f t="shared" si="149"/>
        <v>0.74253876667331065</v>
      </c>
      <c r="AJ139" s="386">
        <f t="shared" si="150"/>
        <v>0</v>
      </c>
      <c r="AK139" s="386">
        <f t="shared" si="151"/>
        <v>0</v>
      </c>
      <c r="AL139" s="386">
        <f t="shared" si="152"/>
        <v>0</v>
      </c>
      <c r="AM139">
        <f t="shared" si="153"/>
        <v>0</v>
      </c>
      <c r="AN139" s="386">
        <f t="shared" si="154"/>
        <v>0</v>
      </c>
      <c r="AO139" s="386">
        <f t="shared" si="155"/>
        <v>12.101685262470193</v>
      </c>
      <c r="AP139" s="386">
        <f t="shared" si="156"/>
        <v>0.27825649376458766</v>
      </c>
      <c r="AQ139" s="386">
        <f t="shared" si="157"/>
        <v>0</v>
      </c>
      <c r="AR139" s="386">
        <f t="shared" si="158"/>
        <v>0.29465439344294042</v>
      </c>
      <c r="AS139" s="386">
        <f t="shared" si="159"/>
        <v>0.27825649376458766</v>
      </c>
      <c r="AT139" s="386">
        <f t="shared" si="160"/>
        <v>0</v>
      </c>
      <c r="AU139" s="386">
        <f t="shared" si="161"/>
        <v>0.40054770000000001</v>
      </c>
      <c r="AV139" s="386">
        <f t="shared" si="162"/>
        <v>0.30705825242054996</v>
      </c>
      <c r="AW139" s="386">
        <f t="shared" si="163"/>
        <v>0.59328000000000003</v>
      </c>
      <c r="AX139" s="386">
        <f t="shared" si="164"/>
        <v>3.6000000000000004E-2</v>
      </c>
      <c r="AY139" s="386">
        <f t="shared" si="165"/>
        <v>6.6000000000000003E-2</v>
      </c>
      <c r="AZ139" s="386">
        <f t="shared" si="166"/>
        <v>4.3499999999999997E-2</v>
      </c>
      <c r="BA139" s="386">
        <f t="shared" si="123"/>
        <v>0.10200000000000001</v>
      </c>
      <c r="BB139" s="386">
        <f t="shared" si="124"/>
        <v>4.4351384938260621</v>
      </c>
      <c r="BC139">
        <f t="shared" si="167"/>
        <v>144</v>
      </c>
      <c r="BD139" s="604">
        <f t="shared" si="125"/>
        <v>0.97012069689947078</v>
      </c>
      <c r="BE139" s="614">
        <f t="shared" si="168"/>
        <v>55.822052005573028</v>
      </c>
      <c r="BF139" s="614">
        <f t="shared" si="169"/>
        <v>37.126938333665535</v>
      </c>
      <c r="BG139" s="9"/>
      <c r="BH139" s="4">
        <f t="shared" si="126"/>
        <v>97.012069689947083</v>
      </c>
      <c r="BI139" s="386">
        <f t="shared" si="127"/>
        <v>1.2012101328112528</v>
      </c>
      <c r="BJ139" s="386">
        <f t="shared" si="128"/>
        <v>2.1536342002277116</v>
      </c>
      <c r="BK139" s="386">
        <f t="shared" si="129"/>
        <v>0.87471950767331064</v>
      </c>
      <c r="BL139" s="386">
        <f t="shared" si="130"/>
        <v>0.30705825242054996</v>
      </c>
    </row>
    <row r="140" spans="7:64" x14ac:dyDescent="0.2">
      <c r="G140">
        <v>131</v>
      </c>
      <c r="H140" s="610">
        <f t="shared" si="131"/>
        <v>25.650000000000002</v>
      </c>
      <c r="I140" s="4" t="str">
        <f t="shared" si="132"/>
        <v>BUCK</v>
      </c>
      <c r="J140">
        <f t="shared" si="170"/>
        <v>1</v>
      </c>
      <c r="K140">
        <f t="shared" si="133"/>
        <v>12</v>
      </c>
      <c r="L140" s="4">
        <f t="shared" si="134"/>
        <v>6.2378167641325533</v>
      </c>
      <c r="M140" s="4">
        <f t="shared" si="135"/>
        <v>12</v>
      </c>
      <c r="N140" s="386">
        <f t="shared" si="136"/>
        <v>0.47305626897034786</v>
      </c>
      <c r="O140" s="386">
        <f t="shared" si="171"/>
        <v>0</v>
      </c>
      <c r="P140" s="4">
        <f t="shared" si="137"/>
        <v>5.451782264370272</v>
      </c>
      <c r="Q140" s="386">
        <f t="shared" si="138"/>
        <v>12.102761151413969</v>
      </c>
      <c r="R140" s="386">
        <f t="shared" si="116"/>
        <v>0.51074715502713919</v>
      </c>
      <c r="S140" s="386">
        <f t="shared" si="117"/>
        <v>0.69901726920570983</v>
      </c>
      <c r="T140" s="386">
        <f t="shared" si="118"/>
        <v>1.2097644242328491</v>
      </c>
      <c r="U140" s="4">
        <f t="shared" si="139"/>
        <v>1.5737939789487021</v>
      </c>
      <c r="V140" s="386">
        <f t="shared" si="119"/>
        <v>4.9536549763503756E-3</v>
      </c>
      <c r="W140" s="386">
        <f t="shared" si="120"/>
        <v>4.9536549763503756E-3</v>
      </c>
      <c r="X140" s="386">
        <f t="shared" si="140"/>
        <v>6.0425880113114276</v>
      </c>
      <c r="Y140" s="386">
        <f t="shared" si="121"/>
        <v>7.3025739748889193E-2</v>
      </c>
      <c r="Z140" s="603">
        <f t="shared" si="122"/>
        <v>7.3025739748889193E-2</v>
      </c>
      <c r="AA140" s="386">
        <f t="shared" si="141"/>
        <v>8.3241685171655089</v>
      </c>
      <c r="AB140" s="386">
        <f t="shared" si="142"/>
        <v>0.39496315456236575</v>
      </c>
      <c r="AC140" s="386">
        <f t="shared" si="143"/>
        <v>0.2633497159090909</v>
      </c>
      <c r="AD140">
        <f t="shared" si="144"/>
        <v>0</v>
      </c>
      <c r="AE140" s="386">
        <f t="shared" si="145"/>
        <v>0.71477481349977634</v>
      </c>
      <c r="AF140" s="386">
        <f t="shared" si="146"/>
        <v>8.785502033805793</v>
      </c>
      <c r="AG140" s="386">
        <f t="shared" si="147"/>
        <v>0.4399547621202326</v>
      </c>
      <c r="AH140" s="386">
        <f t="shared" si="148"/>
        <v>0.24</v>
      </c>
      <c r="AI140" s="386">
        <f t="shared" si="149"/>
        <v>0.74555703578544275</v>
      </c>
      <c r="AJ140" s="386">
        <f t="shared" si="150"/>
        <v>0</v>
      </c>
      <c r="AK140" s="386">
        <f t="shared" si="151"/>
        <v>0</v>
      </c>
      <c r="AL140" s="386">
        <f t="shared" si="152"/>
        <v>0</v>
      </c>
      <c r="AM140">
        <f t="shared" si="153"/>
        <v>0</v>
      </c>
      <c r="AN140" s="386">
        <f t="shared" si="154"/>
        <v>0</v>
      </c>
      <c r="AO140" s="386">
        <f t="shared" si="155"/>
        <v>12.102761151413969</v>
      </c>
      <c r="AP140" s="386">
        <f t="shared" si="156"/>
        <v>0.27830597222753278</v>
      </c>
      <c r="AQ140" s="386">
        <f t="shared" si="157"/>
        <v>0</v>
      </c>
      <c r="AR140" s="386">
        <f t="shared" si="158"/>
        <v>0.29470987593707759</v>
      </c>
      <c r="AS140" s="386">
        <f t="shared" si="159"/>
        <v>0.27830597222753278</v>
      </c>
      <c r="AT140" s="386">
        <f t="shared" si="160"/>
        <v>0</v>
      </c>
      <c r="AU140" s="386">
        <f t="shared" si="161"/>
        <v>0.40291020000000005</v>
      </c>
      <c r="AV140" s="386">
        <f t="shared" si="162"/>
        <v>0.30874018394402286</v>
      </c>
      <c r="AW140" s="386">
        <f t="shared" si="163"/>
        <v>0.59328000000000003</v>
      </c>
      <c r="AX140" s="386">
        <f t="shared" si="164"/>
        <v>3.6000000000000004E-2</v>
      </c>
      <c r="AY140" s="386">
        <f t="shared" si="165"/>
        <v>6.6000000000000003E-2</v>
      </c>
      <c r="AZ140" s="386">
        <f t="shared" si="166"/>
        <v>4.3499999999999997E-2</v>
      </c>
      <c r="BA140" s="386">
        <f t="shared" si="123"/>
        <v>0.10200000000000001</v>
      </c>
      <c r="BB140" s="386">
        <f t="shared" si="124"/>
        <v>4.4497159281244087</v>
      </c>
      <c r="BC140">
        <f t="shared" si="167"/>
        <v>144</v>
      </c>
      <c r="BD140" s="604">
        <f t="shared" si="125"/>
        <v>0.97002543318925005</v>
      </c>
      <c r="BE140" s="614">
        <f t="shared" si="168"/>
        <v>55.88425067498882</v>
      </c>
      <c r="BF140" s="614">
        <f t="shared" si="169"/>
        <v>37.277851789272134</v>
      </c>
      <c r="BG140" s="9"/>
      <c r="BH140" s="4">
        <f t="shared" si="126"/>
        <v>97.002543318925007</v>
      </c>
      <c r="BI140" s="386">
        <f t="shared" si="127"/>
        <v>1.2097644242328491</v>
      </c>
      <c r="BJ140" s="386">
        <f t="shared" si="128"/>
        <v>2.1579519252222967</v>
      </c>
      <c r="BK140" s="386">
        <f t="shared" si="129"/>
        <v>0.8785174017854428</v>
      </c>
      <c r="BL140" s="386">
        <f t="shared" si="130"/>
        <v>0.30874018394402286</v>
      </c>
    </row>
    <row r="141" spans="7:64" x14ac:dyDescent="0.2">
      <c r="G141">
        <v>132</v>
      </c>
      <c r="H141" s="610">
        <f t="shared" si="131"/>
        <v>25.8</v>
      </c>
      <c r="I141" s="4" t="str">
        <f t="shared" si="132"/>
        <v>BUCK</v>
      </c>
      <c r="J141">
        <f t="shared" si="170"/>
        <v>1</v>
      </c>
      <c r="K141">
        <f t="shared" si="133"/>
        <v>12</v>
      </c>
      <c r="L141" s="4">
        <f t="shared" si="134"/>
        <v>6.2015503875968987</v>
      </c>
      <c r="M141" s="4">
        <f t="shared" si="135"/>
        <v>12</v>
      </c>
      <c r="N141" s="386">
        <f t="shared" si="136"/>
        <v>0.47031104921077066</v>
      </c>
      <c r="O141" s="386">
        <f t="shared" si="171"/>
        <v>0</v>
      </c>
      <c r="P141" s="4">
        <f t="shared" si="137"/>
        <v>5.4801844248207194</v>
      </c>
      <c r="Q141" s="386">
        <f t="shared" si="138"/>
        <v>12.103830045795586</v>
      </c>
      <c r="R141" s="386">
        <f t="shared" si="116"/>
        <v>0.51084106264411444</v>
      </c>
      <c r="S141" s="386">
        <f t="shared" si="117"/>
        <v>0.70743619552784776</v>
      </c>
      <c r="T141" s="386">
        <f t="shared" si="118"/>
        <v>1.2182772581719621</v>
      </c>
      <c r="U141" s="4">
        <f t="shared" si="139"/>
        <v>1.5819929764395184</v>
      </c>
      <c r="V141" s="386">
        <f t="shared" si="119"/>
        <v>5.0054035550079331E-3</v>
      </c>
      <c r="W141" s="386">
        <f t="shared" si="120"/>
        <v>5.0054035550079331E-3</v>
      </c>
      <c r="X141" s="386">
        <f t="shared" si="140"/>
        <v>6.0412368776095482</v>
      </c>
      <c r="Y141" s="386">
        <f t="shared" si="121"/>
        <v>7.2993086022779124E-2</v>
      </c>
      <c r="Z141" s="603">
        <f t="shared" si="122"/>
        <v>7.2993086022779124E-2</v>
      </c>
      <c r="AA141" s="386">
        <f t="shared" si="141"/>
        <v>8.3007131853347715</v>
      </c>
      <c r="AB141" s="386">
        <f t="shared" si="142"/>
        <v>0.39274048449558602</v>
      </c>
      <c r="AC141" s="386">
        <f t="shared" si="143"/>
        <v>0.26488977272727271</v>
      </c>
      <c r="AD141">
        <f t="shared" si="144"/>
        <v>0</v>
      </c>
      <c r="AE141" s="386">
        <f t="shared" si="145"/>
        <v>0.71368918443794216</v>
      </c>
      <c r="AF141" s="386">
        <f t="shared" si="146"/>
        <v>8.8091351671042855</v>
      </c>
      <c r="AG141" s="386">
        <f t="shared" si="147"/>
        <v>0.44232491563618664</v>
      </c>
      <c r="AH141" s="386">
        <f t="shared" si="148"/>
        <v>0.24</v>
      </c>
      <c r="AI141" s="386">
        <f t="shared" si="149"/>
        <v>0.74854493026177338</v>
      </c>
      <c r="AJ141" s="386">
        <f t="shared" si="150"/>
        <v>0</v>
      </c>
      <c r="AK141" s="386">
        <f t="shared" si="151"/>
        <v>0</v>
      </c>
      <c r="AL141" s="386">
        <f t="shared" si="152"/>
        <v>0</v>
      </c>
      <c r="AM141">
        <f t="shared" si="153"/>
        <v>0</v>
      </c>
      <c r="AN141" s="386">
        <f t="shared" si="154"/>
        <v>0</v>
      </c>
      <c r="AO141" s="386">
        <f t="shared" si="155"/>
        <v>12.103830045795586</v>
      </c>
      <c r="AP141" s="386">
        <f t="shared" si="156"/>
        <v>0.27835513337725754</v>
      </c>
      <c r="AQ141" s="386">
        <f t="shared" si="157"/>
        <v>0</v>
      </c>
      <c r="AR141" s="386">
        <f t="shared" si="158"/>
        <v>0.29476500376483949</v>
      </c>
      <c r="AS141" s="386">
        <f t="shared" si="159"/>
        <v>0.27835513337725754</v>
      </c>
      <c r="AT141" s="386">
        <f t="shared" si="160"/>
        <v>0</v>
      </c>
      <c r="AU141" s="386">
        <f t="shared" si="161"/>
        <v>0.40527269999999999</v>
      </c>
      <c r="AV141" s="386">
        <f t="shared" si="162"/>
        <v>0.31040344956925381</v>
      </c>
      <c r="AW141" s="386">
        <f t="shared" si="163"/>
        <v>0.59328000000000003</v>
      </c>
      <c r="AX141" s="386">
        <f t="shared" si="164"/>
        <v>3.6000000000000004E-2</v>
      </c>
      <c r="AY141" s="386">
        <f t="shared" si="165"/>
        <v>6.6000000000000003E-2</v>
      </c>
      <c r="AZ141" s="386">
        <f t="shared" si="166"/>
        <v>4.3499999999999997E-2</v>
      </c>
      <c r="BA141" s="386">
        <f t="shared" si="123"/>
        <v>0.10200000000000001</v>
      </c>
      <c r="BB141" s="386">
        <f t="shared" si="124"/>
        <v>4.4642310157835574</v>
      </c>
      <c r="BC141">
        <f t="shared" si="167"/>
        <v>144</v>
      </c>
      <c r="BD141" s="604">
        <f t="shared" si="125"/>
        <v>0.96993059550277161</v>
      </c>
      <c r="BE141" s="614">
        <f t="shared" si="168"/>
        <v>55.948094221897108</v>
      </c>
      <c r="BF141" s="614">
        <f t="shared" si="169"/>
        <v>37.427246513088669</v>
      </c>
      <c r="BG141" s="9"/>
      <c r="BH141" s="4">
        <f t="shared" si="126"/>
        <v>96.993059550277167</v>
      </c>
      <c r="BI141" s="386">
        <f t="shared" si="127"/>
        <v>1.2182772581719621</v>
      </c>
      <c r="BJ141" s="386">
        <f t="shared" si="128"/>
        <v>2.1622718184645549</v>
      </c>
      <c r="BK141" s="386">
        <f t="shared" si="129"/>
        <v>0.88228492126177338</v>
      </c>
      <c r="BL141" s="386">
        <f t="shared" si="130"/>
        <v>0.31040344956925381</v>
      </c>
    </row>
    <row r="142" spans="7:64" x14ac:dyDescent="0.2">
      <c r="G142">
        <v>133</v>
      </c>
      <c r="H142" s="610">
        <f t="shared" si="131"/>
        <v>25.950000000000003</v>
      </c>
      <c r="I142" s="4" t="str">
        <f t="shared" si="132"/>
        <v>BUCK</v>
      </c>
      <c r="J142">
        <f t="shared" si="170"/>
        <v>1</v>
      </c>
      <c r="K142">
        <f t="shared" si="133"/>
        <v>12</v>
      </c>
      <c r="L142" s="4">
        <f t="shared" si="134"/>
        <v>6.1657032755298644</v>
      </c>
      <c r="M142" s="4">
        <f t="shared" si="135"/>
        <v>12</v>
      </c>
      <c r="N142" s="386">
        <f t="shared" si="136"/>
        <v>0.46759750750057694</v>
      </c>
      <c r="O142" s="386">
        <f t="shared" si="171"/>
        <v>0</v>
      </c>
      <c r="P142" s="4">
        <f t="shared" si="137"/>
        <v>5.5082588428242438</v>
      </c>
      <c r="Q142" s="386">
        <f t="shared" si="138"/>
        <v>12.104891970740422</v>
      </c>
      <c r="R142" s="386">
        <f t="shared" si="116"/>
        <v>0.5109343675168686</v>
      </c>
      <c r="S142" s="386">
        <f t="shared" si="117"/>
        <v>0.7158140781437613</v>
      </c>
      <c r="T142" s="386">
        <f t="shared" si="118"/>
        <v>1.2267484456606299</v>
      </c>
      <c r="U142" s="4">
        <f t="shared" si="139"/>
        <v>1.590097362835357</v>
      </c>
      <c r="V142" s="386">
        <f t="shared" si="119"/>
        <v>5.0568192465919141E-3</v>
      </c>
      <c r="W142" s="386">
        <f t="shared" si="120"/>
        <v>5.0568192465919141E-3</v>
      </c>
      <c r="X142" s="386">
        <f t="shared" si="140"/>
        <v>6.0397234270489104</v>
      </c>
      <c r="Y142" s="386">
        <f t="shared" si="121"/>
        <v>7.2956518150486871E-2</v>
      </c>
      <c r="Z142" s="603">
        <f t="shared" si="122"/>
        <v>7.2956518150486871E-2</v>
      </c>
      <c r="AA142" s="386">
        <f t="shared" si="141"/>
        <v>8.277458493878223</v>
      </c>
      <c r="AB142" s="386">
        <f t="shared" si="142"/>
        <v>0.39054301897189742</v>
      </c>
      <c r="AC142" s="386">
        <f t="shared" si="143"/>
        <v>0.26642982954545458</v>
      </c>
      <c r="AD142">
        <f t="shared" si="144"/>
        <v>0</v>
      </c>
      <c r="AE142" s="386">
        <f t="shared" si="145"/>
        <v>0.71263583890831705</v>
      </c>
      <c r="AF142" s="386">
        <f t="shared" si="146"/>
        <v>8.8324453298856724</v>
      </c>
      <c r="AG142" s="386">
        <f t="shared" si="147"/>
        <v>0.44466891588088958</v>
      </c>
      <c r="AH142" s="386">
        <f t="shared" si="148"/>
        <v>0.24</v>
      </c>
      <c r="AI142" s="386">
        <f t="shared" si="149"/>
        <v>0.75150291300208305</v>
      </c>
      <c r="AJ142" s="386">
        <f t="shared" si="150"/>
        <v>0</v>
      </c>
      <c r="AK142" s="386">
        <f t="shared" si="151"/>
        <v>0</v>
      </c>
      <c r="AL142" s="386">
        <f t="shared" si="152"/>
        <v>0</v>
      </c>
      <c r="AM142">
        <f t="shared" si="153"/>
        <v>0</v>
      </c>
      <c r="AN142" s="386">
        <f t="shared" si="154"/>
        <v>0</v>
      </c>
      <c r="AO142" s="386">
        <f t="shared" si="155"/>
        <v>12.104891970740422</v>
      </c>
      <c r="AP142" s="386">
        <f t="shared" si="156"/>
        <v>0.27840397828426228</v>
      </c>
      <c r="AQ142" s="386">
        <f t="shared" si="157"/>
        <v>0</v>
      </c>
      <c r="AR142" s="386">
        <f t="shared" si="158"/>
        <v>0.29481977810449739</v>
      </c>
      <c r="AS142" s="386">
        <f t="shared" si="159"/>
        <v>0.27840397828426228</v>
      </c>
      <c r="AT142" s="386">
        <f t="shared" si="160"/>
        <v>0</v>
      </c>
      <c r="AU142" s="386">
        <f t="shared" si="161"/>
        <v>0.40763520000000003</v>
      </c>
      <c r="AV142" s="386">
        <f t="shared" si="162"/>
        <v>0.31204836202167691</v>
      </c>
      <c r="AW142" s="386">
        <f t="shared" si="163"/>
        <v>0.59328000000000003</v>
      </c>
      <c r="AX142" s="386">
        <f t="shared" si="164"/>
        <v>3.6000000000000004E-2</v>
      </c>
      <c r="AY142" s="386">
        <f t="shared" si="165"/>
        <v>6.6000000000000003E-2</v>
      </c>
      <c r="AZ142" s="386">
        <f t="shared" si="166"/>
        <v>4.3499999999999997E-2</v>
      </c>
      <c r="BA142" s="386">
        <f t="shared" si="123"/>
        <v>0.10200000000000001</v>
      </c>
      <c r="BB142" s="386">
        <f t="shared" si="124"/>
        <v>4.4786838750942835</v>
      </c>
      <c r="BC142">
        <f t="shared" si="167"/>
        <v>144</v>
      </c>
      <c r="BD142" s="604">
        <f t="shared" si="125"/>
        <v>0.96983618282297068</v>
      </c>
      <c r="BE142" s="614">
        <f t="shared" si="168"/>
        <v>56.013551945415848</v>
      </c>
      <c r="BF142" s="614">
        <f t="shared" si="169"/>
        <v>37.575145650104155</v>
      </c>
      <c r="BG142" s="9"/>
      <c r="BH142" s="4">
        <f t="shared" si="126"/>
        <v>96.983618282297073</v>
      </c>
      <c r="BI142" s="386">
        <f t="shared" si="127"/>
        <v>1.2267484456606299</v>
      </c>
      <c r="BJ142" s="386">
        <f t="shared" si="128"/>
        <v>2.1665937300148976</v>
      </c>
      <c r="BK142" s="386">
        <f t="shared" si="129"/>
        <v>0.88602252900208311</v>
      </c>
      <c r="BL142" s="386">
        <f t="shared" si="130"/>
        <v>0.31204836202167691</v>
      </c>
    </row>
    <row r="143" spans="7:64" x14ac:dyDescent="0.2">
      <c r="G143">
        <v>134</v>
      </c>
      <c r="H143" s="610">
        <f t="shared" si="131"/>
        <v>26.1</v>
      </c>
      <c r="I143" s="4" t="str">
        <f t="shared" si="132"/>
        <v>BUCK</v>
      </c>
      <c r="J143">
        <f t="shared" si="170"/>
        <v>1</v>
      </c>
      <c r="K143">
        <f t="shared" si="133"/>
        <v>12</v>
      </c>
      <c r="L143" s="4">
        <f t="shared" si="134"/>
        <v>6.1302681992337158</v>
      </c>
      <c r="M143" s="4">
        <f t="shared" si="135"/>
        <v>12</v>
      </c>
      <c r="N143" s="386">
        <f t="shared" si="136"/>
        <v>0.46491509866911424</v>
      </c>
      <c r="O143" s="386">
        <f t="shared" si="171"/>
        <v>0</v>
      </c>
      <c r="P143" s="4">
        <f t="shared" si="137"/>
        <v>5.5360111587396137</v>
      </c>
      <c r="Q143" s="386">
        <f t="shared" si="138"/>
        <v>12.10594695301201</v>
      </c>
      <c r="R143" s="386">
        <f t="shared" si="116"/>
        <v>0.51102707181017248</v>
      </c>
      <c r="S143" s="386">
        <f t="shared" si="117"/>
        <v>0.72415074862398265</v>
      </c>
      <c r="T143" s="386">
        <f t="shared" si="118"/>
        <v>1.235177820434155</v>
      </c>
      <c r="U143" s="4">
        <f t="shared" si="139"/>
        <v>1.5981087663675442</v>
      </c>
      <c r="V143" s="386">
        <f t="shared" si="119"/>
        <v>5.1079032582815875E-3</v>
      </c>
      <c r="W143" s="386">
        <f t="shared" si="120"/>
        <v>5.1079032582815875E-3</v>
      </c>
      <c r="X143" s="386">
        <f t="shared" si="140"/>
        <v>6.0380532687577571</v>
      </c>
      <c r="Y143" s="386">
        <f t="shared" si="121"/>
        <v>7.2916174552712473E-2</v>
      </c>
      <c r="Z143" s="603">
        <f t="shared" si="122"/>
        <v>7.2916174552712473E-2</v>
      </c>
      <c r="AA143" s="386">
        <f t="shared" si="141"/>
        <v>8.2544015459638622</v>
      </c>
      <c r="AB143" s="386">
        <f t="shared" si="142"/>
        <v>0.38837032582746039</v>
      </c>
      <c r="AC143" s="386">
        <f t="shared" si="143"/>
        <v>0.26796988636363639</v>
      </c>
      <c r="AD143">
        <f t="shared" si="144"/>
        <v>0</v>
      </c>
      <c r="AE143" s="386">
        <f t="shared" si="145"/>
        <v>0.71161417824476914</v>
      </c>
      <c r="AF143" s="386">
        <f t="shared" si="146"/>
        <v>8.8554393875815212</v>
      </c>
      <c r="AG143" s="386">
        <f t="shared" si="147"/>
        <v>0.4469871984586421</v>
      </c>
      <c r="AH143" s="386">
        <f t="shared" si="148"/>
        <v>0.24</v>
      </c>
      <c r="AI143" s="386">
        <f t="shared" si="149"/>
        <v>0.75443143738369489</v>
      </c>
      <c r="AJ143" s="386">
        <f t="shared" si="150"/>
        <v>0</v>
      </c>
      <c r="AK143" s="386">
        <f t="shared" si="151"/>
        <v>0</v>
      </c>
      <c r="AL143" s="386">
        <f t="shared" si="152"/>
        <v>0</v>
      </c>
      <c r="AM143">
        <f t="shared" si="153"/>
        <v>0</v>
      </c>
      <c r="AN143" s="386">
        <f t="shared" si="154"/>
        <v>0</v>
      </c>
      <c r="AO143" s="386">
        <f t="shared" si="155"/>
        <v>12.10594695301201</v>
      </c>
      <c r="AP143" s="386">
        <f t="shared" si="156"/>
        <v>0.27845250809536748</v>
      </c>
      <c r="AQ143" s="386">
        <f t="shared" si="157"/>
        <v>0</v>
      </c>
      <c r="AR143" s="386">
        <f t="shared" si="158"/>
        <v>0.29487420022015082</v>
      </c>
      <c r="AS143" s="386">
        <f t="shared" si="159"/>
        <v>0.27845250809536748</v>
      </c>
      <c r="AT143" s="386">
        <f t="shared" si="160"/>
        <v>0</v>
      </c>
      <c r="AU143" s="386">
        <f t="shared" si="161"/>
        <v>0.40999770000000002</v>
      </c>
      <c r="AV143" s="386">
        <f t="shared" si="162"/>
        <v>0.31367522698852079</v>
      </c>
      <c r="AW143" s="386">
        <f t="shared" si="163"/>
        <v>0.59328000000000003</v>
      </c>
      <c r="AX143" s="386">
        <f t="shared" si="164"/>
        <v>3.6000000000000004E-2</v>
      </c>
      <c r="AY143" s="386">
        <f t="shared" si="165"/>
        <v>6.6000000000000003E-2</v>
      </c>
      <c r="AZ143" s="386">
        <f t="shared" si="166"/>
        <v>4.3499999999999997E-2</v>
      </c>
      <c r="BA143" s="386">
        <f t="shared" si="123"/>
        <v>0.10200000000000001</v>
      </c>
      <c r="BB143" s="386">
        <f t="shared" si="124"/>
        <v>4.4930746410822842</v>
      </c>
      <c r="BC143">
        <f t="shared" si="167"/>
        <v>144</v>
      </c>
      <c r="BD143" s="604">
        <f t="shared" si="125"/>
        <v>0.96974219402526118</v>
      </c>
      <c r="BE143" s="614">
        <f t="shared" si="168"/>
        <v>56.080593912238456</v>
      </c>
      <c r="BF143" s="614">
        <f t="shared" si="169"/>
        <v>37.721571869184743</v>
      </c>
      <c r="BG143" s="9"/>
      <c r="BH143" s="4">
        <f t="shared" si="126"/>
        <v>96.974219402526117</v>
      </c>
      <c r="BI143" s="386">
        <f t="shared" si="127"/>
        <v>1.235177820434155</v>
      </c>
      <c r="BJ143" s="386">
        <f t="shared" si="128"/>
        <v>2.1709175158486147</v>
      </c>
      <c r="BK143" s="386">
        <f t="shared" si="129"/>
        <v>0.88973067838369491</v>
      </c>
      <c r="BL143" s="386">
        <f t="shared" si="130"/>
        <v>0.31367522698852079</v>
      </c>
    </row>
    <row r="144" spans="7:64" x14ac:dyDescent="0.2">
      <c r="G144">
        <v>135</v>
      </c>
      <c r="H144" s="610">
        <f t="shared" si="131"/>
        <v>26.25</v>
      </c>
      <c r="I144" s="4" t="str">
        <f t="shared" si="132"/>
        <v>BUCK</v>
      </c>
      <c r="J144">
        <f t="shared" si="170"/>
        <v>1</v>
      </c>
      <c r="K144">
        <f t="shared" si="133"/>
        <v>12</v>
      </c>
      <c r="L144" s="4">
        <f t="shared" si="134"/>
        <v>6.0952380952380949</v>
      </c>
      <c r="M144" s="4">
        <f t="shared" si="135"/>
        <v>12</v>
      </c>
      <c r="N144" s="386">
        <f t="shared" si="136"/>
        <v>0.46226328998402921</v>
      </c>
      <c r="O144" s="386">
        <f t="shared" si="171"/>
        <v>0</v>
      </c>
      <c r="P144" s="4">
        <f t="shared" si="137"/>
        <v>5.5634468842384264</v>
      </c>
      <c r="Q144" s="386">
        <f t="shared" si="138"/>
        <v>12.106995020901973</v>
      </c>
      <c r="R144" s="386">
        <f t="shared" si="116"/>
        <v>0.51111917782525784</v>
      </c>
      <c r="S144" s="386">
        <f t="shared" si="117"/>
        <v>0.73244606001393142</v>
      </c>
      <c r="T144" s="386">
        <f t="shared" si="118"/>
        <v>1.2435652378391893</v>
      </c>
      <c r="U144" s="4">
        <f t="shared" si="139"/>
        <v>1.6060287781186202</v>
      </c>
      <c r="V144" s="386">
        <f t="shared" si="119"/>
        <v>5.1586568722903764E-3</v>
      </c>
      <c r="W144" s="386">
        <f t="shared" si="120"/>
        <v>5.1586568722903764E-3</v>
      </c>
      <c r="X144" s="386">
        <f t="shared" si="140"/>
        <v>6.0362318093083447</v>
      </c>
      <c r="Y144" s="386">
        <f t="shared" si="121"/>
        <v>7.2872188911411784E-2</v>
      </c>
      <c r="Z144" s="603">
        <f t="shared" si="122"/>
        <v>7.2872188911411784E-2</v>
      </c>
      <c r="AA144" s="386">
        <f t="shared" si="141"/>
        <v>8.2315395040382349</v>
      </c>
      <c r="AB144" s="386">
        <f t="shared" si="142"/>
        <v>0.38622198285728959</v>
      </c>
      <c r="AC144" s="386">
        <f t="shared" si="143"/>
        <v>0.26950994318181815</v>
      </c>
      <c r="AD144">
        <f t="shared" si="144"/>
        <v>0</v>
      </c>
      <c r="AE144" s="386">
        <f t="shared" si="145"/>
        <v>0.71062361865124923</v>
      </c>
      <c r="AF144" s="386">
        <f t="shared" si="146"/>
        <v>8.8781240039550671</v>
      </c>
      <c r="AG144" s="386">
        <f t="shared" si="147"/>
        <v>0.44928018922873797</v>
      </c>
      <c r="AH144" s="386">
        <f t="shared" si="148"/>
        <v>0.24</v>
      </c>
      <c r="AI144" s="386">
        <f t="shared" si="149"/>
        <v>0.75733094750994767</v>
      </c>
      <c r="AJ144" s="386">
        <f t="shared" si="150"/>
        <v>0</v>
      </c>
      <c r="AK144" s="386">
        <f t="shared" si="151"/>
        <v>0</v>
      </c>
      <c r="AL144" s="386">
        <f t="shared" si="152"/>
        <v>0</v>
      </c>
      <c r="AM144">
        <f t="shared" si="153"/>
        <v>0</v>
      </c>
      <c r="AN144" s="386">
        <f t="shared" si="154"/>
        <v>0</v>
      </c>
      <c r="AO144" s="386">
        <f t="shared" si="155"/>
        <v>12.106995020901973</v>
      </c>
      <c r="AP144" s="386">
        <f t="shared" si="156"/>
        <v>0.27850072402867582</v>
      </c>
      <c r="AQ144" s="386">
        <f t="shared" si="157"/>
        <v>0</v>
      </c>
      <c r="AR144" s="386">
        <f t="shared" si="158"/>
        <v>0.29492827145608491</v>
      </c>
      <c r="AS144" s="386">
        <f t="shared" si="159"/>
        <v>0.27850072402867582</v>
      </c>
      <c r="AT144" s="386">
        <f t="shared" si="160"/>
        <v>0</v>
      </c>
      <c r="AU144" s="386">
        <f t="shared" si="161"/>
        <v>0.41236020000000001</v>
      </c>
      <c r="AV144" s="386">
        <f t="shared" si="162"/>
        <v>0.3152843433184126</v>
      </c>
      <c r="AW144" s="386">
        <f t="shared" si="163"/>
        <v>0.59328000000000003</v>
      </c>
      <c r="AX144" s="386">
        <f t="shared" si="164"/>
        <v>3.6000000000000004E-2</v>
      </c>
      <c r="AY144" s="386">
        <f t="shared" si="165"/>
        <v>6.6000000000000003E-2</v>
      </c>
      <c r="AZ144" s="386">
        <f t="shared" si="166"/>
        <v>4.3499999999999997E-2</v>
      </c>
      <c r="BA144" s="386">
        <f t="shared" si="123"/>
        <v>0.10200000000000001</v>
      </c>
      <c r="BB144" s="386">
        <f t="shared" si="124"/>
        <v>4.5074034645585854</v>
      </c>
      <c r="BC144">
        <f t="shared" si="167"/>
        <v>144</v>
      </c>
      <c r="BD144" s="604">
        <f t="shared" si="125"/>
        <v>0.96964862788383277</v>
      </c>
      <c r="BE144" s="614">
        <f t="shared" si="168"/>
        <v>56.149190932562462</v>
      </c>
      <c r="BF144" s="614">
        <f t="shared" si="169"/>
        <v>37.866547375497383</v>
      </c>
      <c r="BG144" s="9"/>
      <c r="BH144" s="4">
        <f t="shared" si="126"/>
        <v>96.964862788383272</v>
      </c>
      <c r="BI144" s="386">
        <f t="shared" si="127"/>
        <v>1.2435652378391893</v>
      </c>
      <c r="BJ144" s="386">
        <f t="shared" si="128"/>
        <v>2.1752430376172818</v>
      </c>
      <c r="BK144" s="386">
        <f t="shared" si="129"/>
        <v>0.89340981350994775</v>
      </c>
      <c r="BL144" s="386">
        <f t="shared" si="130"/>
        <v>0.3152843433184126</v>
      </c>
    </row>
    <row r="145" spans="7:64" x14ac:dyDescent="0.2">
      <c r="G145">
        <v>136</v>
      </c>
      <c r="H145" s="610">
        <f t="shared" si="131"/>
        <v>26.400000000000002</v>
      </c>
      <c r="I145" s="4" t="str">
        <f t="shared" si="132"/>
        <v>BUCK</v>
      </c>
      <c r="J145">
        <f t="shared" si="170"/>
        <v>1</v>
      </c>
      <c r="K145">
        <f t="shared" si="133"/>
        <v>12</v>
      </c>
      <c r="L145" s="4">
        <f t="shared" si="134"/>
        <v>6.0606060606060606</v>
      </c>
      <c r="M145" s="4">
        <f t="shared" si="135"/>
        <v>12</v>
      </c>
      <c r="N145" s="386">
        <f t="shared" si="136"/>
        <v>0.45964156079854807</v>
      </c>
      <c r="O145" s="386">
        <f t="shared" si="171"/>
        <v>0</v>
      </c>
      <c r="P145" s="4">
        <f t="shared" si="137"/>
        <v>5.5905714059543579</v>
      </c>
      <c r="Q145" s="386">
        <f t="shared" si="138"/>
        <v>12.108036204125872</v>
      </c>
      <c r="R145" s="386">
        <f t="shared" si="116"/>
        <v>0.51121068799071556</v>
      </c>
      <c r="S145" s="386">
        <f t="shared" si="117"/>
        <v>0.7406998858002467</v>
      </c>
      <c r="T145" s="386">
        <f t="shared" si="118"/>
        <v>1.2519105737909624</v>
      </c>
      <c r="U145" s="4">
        <f t="shared" si="139"/>
        <v>1.6138589530757865</v>
      </c>
      <c r="V145" s="386">
        <f t="shared" si="119"/>
        <v>5.2090814408457479E-3</v>
      </c>
      <c r="W145" s="386">
        <f t="shared" si="120"/>
        <v>5.2090814408457479E-3</v>
      </c>
      <c r="X145" s="386">
        <f t="shared" si="140"/>
        <v>6.0342642612200477</v>
      </c>
      <c r="Y145" s="386">
        <f t="shared" si="121"/>
        <v>7.2824690348475066E-2</v>
      </c>
      <c r="Z145" s="603">
        <f t="shared" si="122"/>
        <v>7.2824690348475066E-2</v>
      </c>
      <c r="AA145" s="386">
        <f t="shared" si="141"/>
        <v>8.2088695882496197</v>
      </c>
      <c r="AB145" s="386">
        <f t="shared" si="142"/>
        <v>0.38409757752627005</v>
      </c>
      <c r="AC145" s="386">
        <f t="shared" si="143"/>
        <v>0.27104999999999996</v>
      </c>
      <c r="AD145">
        <f t="shared" si="144"/>
        <v>0</v>
      </c>
      <c r="AE145" s="386">
        <f t="shared" si="145"/>
        <v>0.70966359073852225</v>
      </c>
      <c r="AF145" s="386">
        <f t="shared" si="146"/>
        <v>8.9005056487557717</v>
      </c>
      <c r="AG145" s="386">
        <f t="shared" si="147"/>
        <v>0.45154830458014045</v>
      </c>
      <c r="AH145" s="386">
        <f t="shared" si="148"/>
        <v>0.24</v>
      </c>
      <c r="AI145" s="386">
        <f t="shared" si="149"/>
        <v>0.76020187845075582</v>
      </c>
      <c r="AJ145" s="386">
        <f t="shared" si="150"/>
        <v>0</v>
      </c>
      <c r="AK145" s="386">
        <f t="shared" si="151"/>
        <v>0</v>
      </c>
      <c r="AL145" s="386">
        <f t="shared" si="152"/>
        <v>0</v>
      </c>
      <c r="AM145">
        <f t="shared" si="153"/>
        <v>0</v>
      </c>
      <c r="AN145" s="386">
        <f t="shared" si="154"/>
        <v>0</v>
      </c>
      <c r="AO145" s="386">
        <f t="shared" si="155"/>
        <v>12.108036204125872</v>
      </c>
      <c r="AP145" s="386">
        <f t="shared" si="156"/>
        <v>0.27854862736880343</v>
      </c>
      <c r="AQ145" s="386">
        <f t="shared" si="157"/>
        <v>0</v>
      </c>
      <c r="AR145" s="386">
        <f t="shared" si="158"/>
        <v>0.29498199323142904</v>
      </c>
      <c r="AS145" s="386">
        <f t="shared" si="159"/>
        <v>0.27854862736880343</v>
      </c>
      <c r="AT145" s="386">
        <f t="shared" si="160"/>
        <v>0</v>
      </c>
      <c r="AU145" s="386">
        <f t="shared" si="161"/>
        <v>0.41472270000000006</v>
      </c>
      <c r="AV145" s="386">
        <f t="shared" si="162"/>
        <v>0.31687600321413362</v>
      </c>
      <c r="AW145" s="386">
        <f t="shared" si="163"/>
        <v>0.59328000000000003</v>
      </c>
      <c r="AX145" s="386">
        <f t="shared" si="164"/>
        <v>3.6000000000000004E-2</v>
      </c>
      <c r="AY145" s="386">
        <f t="shared" si="165"/>
        <v>6.6000000000000003E-2</v>
      </c>
      <c r="AZ145" s="386">
        <f t="shared" si="166"/>
        <v>4.3499999999999997E-2</v>
      </c>
      <c r="BA145" s="386">
        <f t="shared" si="123"/>
        <v>0.10200000000000001</v>
      </c>
      <c r="BB145" s="386">
        <f t="shared" si="124"/>
        <v>4.5216705112151239</v>
      </c>
      <c r="BC145">
        <f t="shared" si="167"/>
        <v>144</v>
      </c>
      <c r="BD145" s="604">
        <f t="shared" si="125"/>
        <v>0.96955548307764505</v>
      </c>
      <c r="BE145" s="614">
        <f t="shared" si="168"/>
        <v>56.219314536926113</v>
      </c>
      <c r="BF145" s="614">
        <f t="shared" si="169"/>
        <v>38.010093922537791</v>
      </c>
      <c r="BG145" s="9"/>
      <c r="BH145" s="4">
        <f t="shared" si="126"/>
        <v>96.955548307764502</v>
      </c>
      <c r="BI145" s="386">
        <f t="shared" si="127"/>
        <v>1.2519105737909624</v>
      </c>
      <c r="BJ145" s="386">
        <f t="shared" si="128"/>
        <v>2.1795701624207071</v>
      </c>
      <c r="BK145" s="386">
        <f t="shared" si="129"/>
        <v>0.89706036945075585</v>
      </c>
      <c r="BL145" s="386">
        <f t="shared" si="130"/>
        <v>0.31687600321413362</v>
      </c>
    </row>
    <row r="146" spans="7:64" x14ac:dyDescent="0.2">
      <c r="G146">
        <v>137</v>
      </c>
      <c r="H146" s="610">
        <f t="shared" si="131"/>
        <v>26.55</v>
      </c>
      <c r="I146" s="4" t="str">
        <f t="shared" si="132"/>
        <v>BUCK</v>
      </c>
      <c r="J146">
        <f t="shared" si="170"/>
        <v>1</v>
      </c>
      <c r="K146">
        <f t="shared" si="133"/>
        <v>12</v>
      </c>
      <c r="L146" s="4">
        <f t="shared" si="134"/>
        <v>6.0263653483992465</v>
      </c>
      <c r="M146" s="4">
        <f t="shared" si="135"/>
        <v>12</v>
      </c>
      <c r="N146" s="386">
        <f t="shared" si="136"/>
        <v>0.45704940221069251</v>
      </c>
      <c r="O146" s="386">
        <f t="shared" si="171"/>
        <v>0</v>
      </c>
      <c r="P146" s="4">
        <f t="shared" si="137"/>
        <v>5.6173899890089327</v>
      </c>
      <c r="Q146" s="386">
        <f t="shared" si="138"/>
        <v>12.109070533724632</v>
      </c>
      <c r="R146" s="386">
        <f t="shared" si="116"/>
        <v>0.51130160485387643</v>
      </c>
      <c r="S146" s="386">
        <f t="shared" si="117"/>
        <v>0.74891211892349252</v>
      </c>
      <c r="T146" s="386">
        <f t="shared" si="118"/>
        <v>1.260213723777369</v>
      </c>
      <c r="U146" s="4">
        <f t="shared" si="139"/>
        <v>1.6216008111487081</v>
      </c>
      <c r="V146" s="386">
        <f t="shared" si="119"/>
        <v>5.2591783814362964E-3</v>
      </c>
      <c r="W146" s="386">
        <f t="shared" si="120"/>
        <v>5.2591783814362964E-3</v>
      </c>
      <c r="X146" s="386">
        <f t="shared" si="140"/>
        <v>6.0321556510445546</v>
      </c>
      <c r="Y146" s="386">
        <f t="shared" si="121"/>
        <v>7.2773803596857506E-2</v>
      </c>
      <c r="Z146" s="603">
        <f t="shared" si="122"/>
        <v>7.2773803596857506E-2</v>
      </c>
      <c r="AA146" s="386">
        <f t="shared" si="141"/>
        <v>8.1863890749229071</v>
      </c>
      <c r="AB146" s="386">
        <f t="shared" si="142"/>
        <v>0.38199670669029767</v>
      </c>
      <c r="AC146" s="386">
        <f t="shared" si="143"/>
        <v>0.27259005681818177</v>
      </c>
      <c r="AD146">
        <f t="shared" si="144"/>
        <v>0</v>
      </c>
      <c r="AE146" s="386">
        <f t="shared" si="145"/>
        <v>0.70873353907824954</v>
      </c>
      <c r="AF146" s="386">
        <f t="shared" si="146"/>
        <v>8.9225906050149462</v>
      </c>
      <c r="AG146" s="386">
        <f t="shared" si="147"/>
        <v>0.45379195169679565</v>
      </c>
      <c r="AH146" s="386">
        <f t="shared" si="148"/>
        <v>0.24</v>
      </c>
      <c r="AI146" s="386">
        <f t="shared" si="149"/>
        <v>0.76304465647556741</v>
      </c>
      <c r="AJ146" s="386">
        <f t="shared" si="150"/>
        <v>0</v>
      </c>
      <c r="AK146" s="386">
        <f t="shared" si="151"/>
        <v>0</v>
      </c>
      <c r="AL146" s="386">
        <f t="shared" si="152"/>
        <v>0</v>
      </c>
      <c r="AM146">
        <f t="shared" si="153"/>
        <v>0</v>
      </c>
      <c r="AN146" s="386">
        <f t="shared" si="154"/>
        <v>0</v>
      </c>
      <c r="AO146" s="386">
        <f t="shared" si="155"/>
        <v>12.109070533724632</v>
      </c>
      <c r="AP146" s="386">
        <f t="shared" si="156"/>
        <v>0.2785962194623644</v>
      </c>
      <c r="AQ146" s="386">
        <f t="shared" si="157"/>
        <v>0</v>
      </c>
      <c r="AR146" s="386">
        <f t="shared" si="158"/>
        <v>0.29503536703509831</v>
      </c>
      <c r="AS146" s="386">
        <f t="shared" si="159"/>
        <v>0.2785962194623644</v>
      </c>
      <c r="AT146" s="386">
        <f t="shared" si="160"/>
        <v>0</v>
      </c>
      <c r="AU146" s="386">
        <f t="shared" si="161"/>
        <v>0.41708519999999999</v>
      </c>
      <c r="AV146" s="386">
        <f t="shared" si="162"/>
        <v>0.31845049241880397</v>
      </c>
      <c r="AW146" s="386">
        <f t="shared" si="163"/>
        <v>0.59328000000000003</v>
      </c>
      <c r="AX146" s="386">
        <f t="shared" si="164"/>
        <v>3.6000000000000004E-2</v>
      </c>
      <c r="AY146" s="386">
        <f t="shared" si="165"/>
        <v>6.6000000000000003E-2</v>
      </c>
      <c r="AZ146" s="386">
        <f t="shared" si="166"/>
        <v>4.3499999999999997E-2</v>
      </c>
      <c r="BA146" s="386">
        <f t="shared" si="123"/>
        <v>0.10200000000000001</v>
      </c>
      <c r="BB146" s="386">
        <f t="shared" si="124"/>
        <v>4.5358759607633816</v>
      </c>
      <c r="BC146">
        <f t="shared" si="167"/>
        <v>144</v>
      </c>
      <c r="BD146" s="604">
        <f t="shared" si="125"/>
        <v>0.96946275819613059</v>
      </c>
      <c r="BE146" s="614">
        <f t="shared" si="168"/>
        <v>56.290936953912471</v>
      </c>
      <c r="BF146" s="614">
        <f t="shared" si="169"/>
        <v>38.15223282377837</v>
      </c>
      <c r="BG146" s="9"/>
      <c r="BH146" s="4">
        <f t="shared" si="126"/>
        <v>96.946275819613064</v>
      </c>
      <c r="BI146" s="386">
        <f t="shared" si="127"/>
        <v>1.260213723777369</v>
      </c>
      <c r="BJ146" s="386">
        <f t="shared" si="128"/>
        <v>2.1838987625889152</v>
      </c>
      <c r="BK146" s="386">
        <f t="shared" si="129"/>
        <v>0.90068277247556738</v>
      </c>
      <c r="BL146" s="386">
        <f t="shared" si="130"/>
        <v>0.31845049241880397</v>
      </c>
    </row>
    <row r="147" spans="7:64" x14ac:dyDescent="0.2">
      <c r="G147">
        <v>138</v>
      </c>
      <c r="H147" s="610">
        <f t="shared" si="131"/>
        <v>26.7</v>
      </c>
      <c r="I147" s="4" t="str">
        <f t="shared" si="132"/>
        <v>BUCK</v>
      </c>
      <c r="J147">
        <f t="shared" si="170"/>
        <v>1</v>
      </c>
      <c r="K147">
        <f t="shared" si="133"/>
        <v>12</v>
      </c>
      <c r="L147" s="4">
        <f t="shared" si="134"/>
        <v>5.9925093632958797</v>
      </c>
      <c r="M147" s="4">
        <f t="shared" si="135"/>
        <v>12</v>
      </c>
      <c r="N147" s="386">
        <f t="shared" si="136"/>
        <v>0.45448631673396145</v>
      </c>
      <c r="O147" s="386">
        <f t="shared" si="171"/>
        <v>0</v>
      </c>
      <c r="P147" s="4">
        <f t="shared" si="137"/>
        <v>5.643907780418659</v>
      </c>
      <c r="Q147" s="386">
        <f t="shared" si="138"/>
        <v>12.110098041971249</v>
      </c>
      <c r="R147" s="386">
        <f t="shared" si="116"/>
        <v>0.51139193107264991</v>
      </c>
      <c r="S147" s="386">
        <f t="shared" si="117"/>
        <v>0.75708267083513026</v>
      </c>
      <c r="T147" s="386">
        <f t="shared" si="118"/>
        <v>1.2684746019077802</v>
      </c>
      <c r="U147" s="4">
        <f t="shared" si="139"/>
        <v>1.6292558381530682</v>
      </c>
      <c r="V147" s="386">
        <f t="shared" si="119"/>
        <v>5.3089491723117138E-3</v>
      </c>
      <c r="W147" s="386">
        <f t="shared" si="120"/>
        <v>5.3089491723117138E-3</v>
      </c>
      <c r="X147" s="386">
        <f t="shared" si="140"/>
        <v>6.0299108270569945</v>
      </c>
      <c r="Y147" s="386">
        <f t="shared" si="121"/>
        <v>7.2719649164518327E-2</v>
      </c>
      <c r="Z147" s="603">
        <f t="shared" si="122"/>
        <v>7.2719649164518327E-2</v>
      </c>
      <c r="AA147" s="386">
        <f t="shared" si="141"/>
        <v>8.1640952950842216</v>
      </c>
      <c r="AB147" s="386">
        <f t="shared" si="142"/>
        <v>0.37991897632713306</v>
      </c>
      <c r="AC147" s="386">
        <f t="shared" si="143"/>
        <v>0.27413011363636364</v>
      </c>
      <c r="AD147">
        <f t="shared" si="144"/>
        <v>0</v>
      </c>
      <c r="AE147" s="386">
        <f t="shared" si="145"/>
        <v>0.70783292177367652</v>
      </c>
      <c r="AF147" s="386">
        <f t="shared" si="146"/>
        <v>8.9443849760025156</v>
      </c>
      <c r="AG147" s="386">
        <f t="shared" si="147"/>
        <v>0.45601152881395529</v>
      </c>
      <c r="AH147" s="386">
        <f t="shared" si="148"/>
        <v>0.24</v>
      </c>
      <c r="AI147" s="386">
        <f t="shared" si="149"/>
        <v>0.76585969927899755</v>
      </c>
      <c r="AJ147" s="386">
        <f t="shared" si="150"/>
        <v>0</v>
      </c>
      <c r="AK147" s="386">
        <f t="shared" si="151"/>
        <v>0</v>
      </c>
      <c r="AL147" s="386">
        <f t="shared" si="152"/>
        <v>0</v>
      </c>
      <c r="AM147">
        <f t="shared" si="153"/>
        <v>0</v>
      </c>
      <c r="AN147" s="386">
        <f t="shared" si="154"/>
        <v>0</v>
      </c>
      <c r="AO147" s="386">
        <f t="shared" si="155"/>
        <v>12.110098041971249</v>
      </c>
      <c r="AP147" s="386">
        <f t="shared" si="156"/>
        <v>0.27864350171369612</v>
      </c>
      <c r="AQ147" s="386">
        <f t="shared" si="157"/>
        <v>0</v>
      </c>
      <c r="AR147" s="386">
        <f t="shared" si="158"/>
        <v>0.29508839442100432</v>
      </c>
      <c r="AS147" s="386">
        <f t="shared" si="159"/>
        <v>0.27864350171369612</v>
      </c>
      <c r="AT147" s="386">
        <f t="shared" si="160"/>
        <v>0</v>
      </c>
      <c r="AU147" s="386">
        <f t="shared" si="161"/>
        <v>0.41944769999999998</v>
      </c>
      <c r="AV147" s="386">
        <f t="shared" si="162"/>
        <v>0.32000809039575806</v>
      </c>
      <c r="AW147" s="386">
        <f t="shared" si="163"/>
        <v>0.59328000000000003</v>
      </c>
      <c r="AX147" s="386">
        <f t="shared" si="164"/>
        <v>3.6000000000000004E-2</v>
      </c>
      <c r="AY147" s="386">
        <f t="shared" si="165"/>
        <v>6.6000000000000003E-2</v>
      </c>
      <c r="AZ147" s="386">
        <f t="shared" si="166"/>
        <v>4.3499999999999997E-2</v>
      </c>
      <c r="BA147" s="386">
        <f t="shared" si="123"/>
        <v>0.10200000000000001</v>
      </c>
      <c r="BB147" s="386">
        <f t="shared" si="124"/>
        <v>4.5500200061140461</v>
      </c>
      <c r="BC147">
        <f t="shared" si="167"/>
        <v>144</v>
      </c>
      <c r="BD147" s="604">
        <f t="shared" si="125"/>
        <v>0.96937045174462599</v>
      </c>
      <c r="BE147" s="614">
        <f t="shared" si="168"/>
        <v>56.364031088683817</v>
      </c>
      <c r="BF147" s="614">
        <f t="shared" si="169"/>
        <v>38.292984963949877</v>
      </c>
      <c r="BG147" s="9"/>
      <c r="BH147" s="4">
        <f t="shared" si="126"/>
        <v>96.937045174462597</v>
      </c>
      <c r="BI147" s="386">
        <f t="shared" si="127"/>
        <v>1.2684746019077802</v>
      </c>
      <c r="BJ147" s="386">
        <f t="shared" si="128"/>
        <v>2.1882287154736781</v>
      </c>
      <c r="BK147" s="386">
        <f t="shared" si="129"/>
        <v>0.90427744027899759</v>
      </c>
      <c r="BL147" s="386">
        <f t="shared" si="130"/>
        <v>0.32000809039575806</v>
      </c>
    </row>
    <row r="148" spans="7:64" x14ac:dyDescent="0.2">
      <c r="G148">
        <v>139</v>
      </c>
      <c r="H148" s="610">
        <f t="shared" si="131"/>
        <v>26.849999999999998</v>
      </c>
      <c r="I148" s="4" t="str">
        <f t="shared" si="132"/>
        <v>BUCK</v>
      </c>
      <c r="J148">
        <f t="shared" si="170"/>
        <v>1</v>
      </c>
      <c r="K148">
        <f t="shared" si="133"/>
        <v>12</v>
      </c>
      <c r="L148" s="4">
        <f t="shared" si="134"/>
        <v>5.9590316573556796</v>
      </c>
      <c r="M148" s="4">
        <f t="shared" si="135"/>
        <v>12</v>
      </c>
      <c r="N148" s="386">
        <f t="shared" si="136"/>
        <v>0.45195181797903194</v>
      </c>
      <c r="O148" s="386">
        <f t="shared" si="171"/>
        <v>0</v>
      </c>
      <c r="P148" s="4">
        <f t="shared" si="137"/>
        <v>5.6701298123881712</v>
      </c>
      <c r="Q148" s="386">
        <f t="shared" si="138"/>
        <v>12.111118762282496</v>
      </c>
      <c r="R148" s="386">
        <f t="shared" si="116"/>
        <v>0.51148166940779738</v>
      </c>
      <c r="S148" s="386">
        <f t="shared" si="117"/>
        <v>0.76521147059671735</v>
      </c>
      <c r="T148" s="386">
        <f t="shared" si="118"/>
        <v>1.2766931400045147</v>
      </c>
      <c r="U148" s="4">
        <f t="shared" si="139"/>
        <v>1.6368254867612164</v>
      </c>
      <c r="V148" s="386">
        <f t="shared" si="119"/>
        <v>5.3583953482221865E-3</v>
      </c>
      <c r="W148" s="386">
        <f t="shared" si="120"/>
        <v>5.3583953482221865E-3</v>
      </c>
      <c r="X148" s="386">
        <f t="shared" si="140"/>
        <v>6.027534466575263</v>
      </c>
      <c r="Y148" s="386">
        <f t="shared" si="121"/>
        <v>7.2662343491505479E-2</v>
      </c>
      <c r="Z148" s="603">
        <f t="shared" si="122"/>
        <v>7.2662343491505479E-2</v>
      </c>
      <c r="AA148" s="386">
        <f t="shared" si="141"/>
        <v>8.1419856330332792</v>
      </c>
      <c r="AB148" s="386">
        <f t="shared" si="142"/>
        <v>0.37786400127656589</v>
      </c>
      <c r="AC148" s="386">
        <f t="shared" si="143"/>
        <v>0.27567017045454545</v>
      </c>
      <c r="AD148">
        <f t="shared" si="144"/>
        <v>0</v>
      </c>
      <c r="AE148" s="386">
        <f t="shared" si="145"/>
        <v>0.70696121004618639</v>
      </c>
      <c r="AF148" s="386">
        <f t="shared" si="146"/>
        <v>8.9658946918637632</v>
      </c>
      <c r="AG148" s="386">
        <f t="shared" si="147"/>
        <v>0.45820742546586762</v>
      </c>
      <c r="AH148" s="386">
        <f t="shared" si="148"/>
        <v>0.24</v>
      </c>
      <c r="AI148" s="386">
        <f t="shared" si="149"/>
        <v>0.76864741619941246</v>
      </c>
      <c r="AJ148" s="386">
        <f t="shared" si="150"/>
        <v>0</v>
      </c>
      <c r="AK148" s="386">
        <f t="shared" si="151"/>
        <v>0</v>
      </c>
      <c r="AL148" s="386">
        <f t="shared" si="152"/>
        <v>0</v>
      </c>
      <c r="AM148">
        <f t="shared" si="153"/>
        <v>0</v>
      </c>
      <c r="AN148" s="386">
        <f t="shared" si="154"/>
        <v>0</v>
      </c>
      <c r="AO148" s="386">
        <f t="shared" si="155"/>
        <v>12.111118762282496</v>
      </c>
      <c r="AP148" s="386">
        <f t="shared" si="156"/>
        <v>0.27869047558081106</v>
      </c>
      <c r="AQ148" s="386">
        <f t="shared" si="157"/>
        <v>0</v>
      </c>
      <c r="AR148" s="386">
        <f t="shared" si="158"/>
        <v>0.29514107700351982</v>
      </c>
      <c r="AS148" s="386">
        <f t="shared" si="159"/>
        <v>0.27869047558081106</v>
      </c>
      <c r="AT148" s="386">
        <f t="shared" si="160"/>
        <v>0</v>
      </c>
      <c r="AU148" s="386">
        <f t="shared" si="161"/>
        <v>0.42181019999999997</v>
      </c>
      <c r="AV148" s="386">
        <f t="shared" si="162"/>
        <v>0.32154907050236325</v>
      </c>
      <c r="AW148" s="386">
        <f t="shared" si="163"/>
        <v>0.59328000000000003</v>
      </c>
      <c r="AX148" s="386">
        <f t="shared" si="164"/>
        <v>3.6000000000000004E-2</v>
      </c>
      <c r="AY148" s="386">
        <f t="shared" si="165"/>
        <v>6.6000000000000003E-2</v>
      </c>
      <c r="AZ148" s="386">
        <f t="shared" si="166"/>
        <v>4.3499999999999997E-2</v>
      </c>
      <c r="BA148" s="386">
        <f t="shared" si="123"/>
        <v>0.10200000000000001</v>
      </c>
      <c r="BB148" s="386">
        <f t="shared" si="124"/>
        <v>4.5641028525957239</v>
      </c>
      <c r="BC148">
        <f t="shared" si="167"/>
        <v>144</v>
      </c>
      <c r="BD148" s="604">
        <f t="shared" si="125"/>
        <v>0.96927856214953745</v>
      </c>
      <c r="BE148" s="614">
        <f t="shared" si="168"/>
        <v>56.438570502309318</v>
      </c>
      <c r="BF148" s="614">
        <f t="shared" si="169"/>
        <v>38.432370809970621</v>
      </c>
      <c r="BG148" s="9"/>
      <c r="BH148" s="4">
        <f t="shared" si="126"/>
        <v>96.927856214953749</v>
      </c>
      <c r="BI148" s="386">
        <f t="shared" si="127"/>
        <v>1.2766931400045147</v>
      </c>
      <c r="BJ148" s="386">
        <f t="shared" si="128"/>
        <v>2.1925599032491188</v>
      </c>
      <c r="BK148" s="386">
        <f t="shared" si="129"/>
        <v>0.90784478219941245</v>
      </c>
      <c r="BL148" s="386">
        <f t="shared" si="130"/>
        <v>0.32154907050236325</v>
      </c>
    </row>
    <row r="149" spans="7:64" x14ac:dyDescent="0.2">
      <c r="G149">
        <v>140</v>
      </c>
      <c r="H149" s="610">
        <f t="shared" si="131"/>
        <v>27</v>
      </c>
      <c r="I149" s="4" t="str">
        <f t="shared" si="132"/>
        <v>BUCK</v>
      </c>
      <c r="J149">
        <f t="shared" si="170"/>
        <v>1</v>
      </c>
      <c r="K149">
        <f t="shared" si="133"/>
        <v>12</v>
      </c>
      <c r="L149" s="4">
        <f t="shared" si="134"/>
        <v>5.9259259259259256</v>
      </c>
      <c r="M149" s="4">
        <f t="shared" si="135"/>
        <v>12</v>
      </c>
      <c r="N149" s="386">
        <f t="shared" si="136"/>
        <v>0.44944543034605144</v>
      </c>
      <c r="O149" s="386">
        <f t="shared" si="171"/>
        <v>0</v>
      </c>
      <c r="P149" s="4">
        <f t="shared" si="137"/>
        <v>5.6960610054937799</v>
      </c>
      <c r="Q149" s="386">
        <f t="shared" si="138"/>
        <v>12.11213272913537</v>
      </c>
      <c r="R149" s="386">
        <f t="shared" si="116"/>
        <v>0.51157082271561505</v>
      </c>
      <c r="S149" s="386">
        <f t="shared" si="117"/>
        <v>0.77329846401938518</v>
      </c>
      <c r="T149" s="386">
        <f t="shared" si="118"/>
        <v>1.2848692867350002</v>
      </c>
      <c r="U149" s="4">
        <f t="shared" si="139"/>
        <v>1.6443111774211823</v>
      </c>
      <c r="V149" s="386">
        <f t="shared" si="119"/>
        <v>5.4075184963844692E-3</v>
      </c>
      <c r="W149" s="386">
        <f t="shared" si="120"/>
        <v>5.4075184963844692E-3</v>
      </c>
      <c r="X149" s="386">
        <f t="shared" si="140"/>
        <v>6.0250310829283773</v>
      </c>
      <c r="Y149" s="386">
        <f t="shared" si="121"/>
        <v>7.2601999100506187E-2</v>
      </c>
      <c r="Z149" s="603">
        <f t="shared" si="122"/>
        <v>7.2601999100506187E-2</v>
      </c>
      <c r="AA149" s="386">
        <f t="shared" si="141"/>
        <v>8.1200575249617089</v>
      </c>
      <c r="AB149" s="386">
        <f t="shared" si="142"/>
        <v>0.3758314049895175</v>
      </c>
      <c r="AC149" s="386">
        <f t="shared" si="143"/>
        <v>0.27721022727272726</v>
      </c>
      <c r="AD149">
        <f t="shared" si="144"/>
        <v>0</v>
      </c>
      <c r="AE149" s="386">
        <f t="shared" si="145"/>
        <v>0.70611788783705054</v>
      </c>
      <c r="AF149" s="386">
        <f t="shared" si="146"/>
        <v>8.9871255159536378</v>
      </c>
      <c r="AG149" s="386">
        <f t="shared" si="147"/>
        <v>0.4603800227251782</v>
      </c>
      <c r="AH149" s="386">
        <f t="shared" si="148"/>
        <v>0.24</v>
      </c>
      <c r="AI149" s="386">
        <f t="shared" si="149"/>
        <v>0.77140820843072322</v>
      </c>
      <c r="AJ149" s="386">
        <f t="shared" si="150"/>
        <v>0</v>
      </c>
      <c r="AK149" s="386">
        <f t="shared" si="151"/>
        <v>0</v>
      </c>
      <c r="AL149" s="386">
        <f t="shared" si="152"/>
        <v>0</v>
      </c>
      <c r="AM149">
        <f t="shared" si="153"/>
        <v>0</v>
      </c>
      <c r="AN149" s="386">
        <f t="shared" si="154"/>
        <v>0</v>
      </c>
      <c r="AO149" s="386">
        <f t="shared" si="155"/>
        <v>12.11213272913537</v>
      </c>
      <c r="AP149" s="386">
        <f t="shared" si="156"/>
        <v>0.27873714257156523</v>
      </c>
      <c r="AQ149" s="386">
        <f t="shared" si="157"/>
        <v>0</v>
      </c>
      <c r="AR149" s="386">
        <f t="shared" si="158"/>
        <v>0.29519341645318498</v>
      </c>
      <c r="AS149" s="386">
        <f t="shared" si="159"/>
        <v>0.27873714257156523</v>
      </c>
      <c r="AT149" s="386">
        <f t="shared" si="160"/>
        <v>0</v>
      </c>
      <c r="AU149" s="386">
        <f t="shared" si="161"/>
        <v>0.42417270000000001</v>
      </c>
      <c r="AV149" s="386">
        <f t="shared" si="162"/>
        <v>0.32307370015801978</v>
      </c>
      <c r="AW149" s="386">
        <f t="shared" si="163"/>
        <v>0.59328000000000003</v>
      </c>
      <c r="AX149" s="386">
        <f t="shared" si="164"/>
        <v>3.6000000000000004E-2</v>
      </c>
      <c r="AY149" s="386">
        <f t="shared" si="165"/>
        <v>6.6000000000000003E-2</v>
      </c>
      <c r="AZ149" s="386">
        <f t="shared" si="166"/>
        <v>4.3499999999999997E-2</v>
      </c>
      <c r="BA149" s="386">
        <f t="shared" si="123"/>
        <v>0.10200000000000001</v>
      </c>
      <c r="BB149" s="386">
        <f t="shared" si="124"/>
        <v>4.5781247172108692</v>
      </c>
      <c r="BC149">
        <f t="shared" si="167"/>
        <v>144</v>
      </c>
      <c r="BD149" s="604">
        <f t="shared" si="125"/>
        <v>0.96918708776325968</v>
      </c>
      <c r="BE149" s="614">
        <f t="shared" si="168"/>
        <v>56.514529391852534</v>
      </c>
      <c r="BF149" s="614">
        <f t="shared" si="169"/>
        <v>38.57041042153616</v>
      </c>
      <c r="BG149" s="9"/>
      <c r="BH149" s="4">
        <f t="shared" si="126"/>
        <v>96.918708776325971</v>
      </c>
      <c r="BI149" s="386">
        <f t="shared" si="127"/>
        <v>1.2848692867350002</v>
      </c>
      <c r="BJ149" s="386">
        <f t="shared" si="128"/>
        <v>2.1968922127209591</v>
      </c>
      <c r="BK149" s="386">
        <f t="shared" si="129"/>
        <v>0.91138519943072327</v>
      </c>
      <c r="BL149" s="386">
        <f t="shared" si="130"/>
        <v>0.32307370015801978</v>
      </c>
    </row>
    <row r="150" spans="7:64" x14ac:dyDescent="0.2">
      <c r="G150">
        <v>141</v>
      </c>
      <c r="H150" s="610">
        <f t="shared" si="131"/>
        <v>27.15</v>
      </c>
      <c r="I150" s="4" t="str">
        <f t="shared" si="132"/>
        <v>BUCK</v>
      </c>
      <c r="J150">
        <f t="shared" si="170"/>
        <v>1</v>
      </c>
      <c r="K150">
        <f t="shared" si="133"/>
        <v>12</v>
      </c>
      <c r="L150" s="4">
        <f t="shared" si="134"/>
        <v>5.8931860036832413</v>
      </c>
      <c r="M150" s="4">
        <f t="shared" si="135"/>
        <v>12</v>
      </c>
      <c r="N150" s="386">
        <f t="shared" si="136"/>
        <v>0.44696668872711232</v>
      </c>
      <c r="O150" s="386">
        <f t="shared" si="171"/>
        <v>0</v>
      </c>
      <c r="P150" s="4">
        <f t="shared" si="137"/>
        <v>5.7217061717616913</v>
      </c>
      <c r="Q150" s="386">
        <f t="shared" si="138"/>
        <v>12.113139977988007</v>
      </c>
      <c r="R150" s="386">
        <f t="shared" si="116"/>
        <v>0.51165939394100701</v>
      </c>
      <c r="S150" s="386">
        <f t="shared" si="117"/>
        <v>0.78134361284178733</v>
      </c>
      <c r="T150" s="386">
        <f t="shared" si="118"/>
        <v>1.2930030067827945</v>
      </c>
      <c r="U150" s="4">
        <f t="shared" si="139"/>
        <v>1.6517142992452778</v>
      </c>
      <c r="V150" s="386">
        <f t="shared" si="119"/>
        <v>5.456320252662638E-3</v>
      </c>
      <c r="W150" s="386">
        <f t="shared" si="120"/>
        <v>5.456320252662638E-3</v>
      </c>
      <c r="X150" s="386">
        <f t="shared" si="140"/>
        <v>6.0224050320933635</v>
      </c>
      <c r="Y150" s="386">
        <f t="shared" si="121"/>
        <v>7.2538724741166932E-2</v>
      </c>
      <c r="Z150" s="603">
        <f t="shared" si="122"/>
        <v>7.2538724741166932E-2</v>
      </c>
      <c r="AA150" s="386">
        <f t="shared" si="141"/>
        <v>8.0983084576155662</v>
      </c>
      <c r="AB150" s="386">
        <f t="shared" si="142"/>
        <v>0.37382081928572058</v>
      </c>
      <c r="AC150" s="386">
        <f t="shared" si="143"/>
        <v>0.27875028409090902</v>
      </c>
      <c r="AD150">
        <f t="shared" si="144"/>
        <v>0</v>
      </c>
      <c r="AE150" s="386">
        <f t="shared" si="145"/>
        <v>0.70530245142371784</v>
      </c>
      <c r="AF150" s="386">
        <f t="shared" si="146"/>
        <v>9.0080830508851051</v>
      </c>
      <c r="AG150" s="386">
        <f t="shared" si="147"/>
        <v>0.46252969343436801</v>
      </c>
      <c r="AH150" s="386">
        <f t="shared" si="148"/>
        <v>0.24</v>
      </c>
      <c r="AI150" s="386">
        <f t="shared" si="149"/>
        <v>0.77414246922764551</v>
      </c>
      <c r="AJ150" s="386">
        <f t="shared" si="150"/>
        <v>0</v>
      </c>
      <c r="AK150" s="386">
        <f t="shared" si="151"/>
        <v>0</v>
      </c>
      <c r="AL150" s="386">
        <f t="shared" si="152"/>
        <v>0</v>
      </c>
      <c r="AM150">
        <f t="shared" si="153"/>
        <v>0</v>
      </c>
      <c r="AN150" s="386">
        <f t="shared" si="154"/>
        <v>0</v>
      </c>
      <c r="AO150" s="386">
        <f t="shared" si="155"/>
        <v>12.113139977988007</v>
      </c>
      <c r="AP150" s="386">
        <f t="shared" si="156"/>
        <v>0.27878350424002946</v>
      </c>
      <c r="AQ150" s="386">
        <f t="shared" si="157"/>
        <v>0</v>
      </c>
      <c r="AR150" s="386">
        <f t="shared" si="158"/>
        <v>0.29524541449264113</v>
      </c>
      <c r="AS150" s="386">
        <f t="shared" si="159"/>
        <v>0.27878350424002946</v>
      </c>
      <c r="AT150" s="386">
        <f t="shared" si="160"/>
        <v>0</v>
      </c>
      <c r="AU150" s="386">
        <f t="shared" si="161"/>
        <v>0.42653519999999995</v>
      </c>
      <c r="AV150" s="386">
        <f t="shared" si="162"/>
        <v>0.32458224100657401</v>
      </c>
      <c r="AW150" s="386">
        <f t="shared" si="163"/>
        <v>0.59328000000000003</v>
      </c>
      <c r="AX150" s="386">
        <f t="shared" si="164"/>
        <v>3.6000000000000004E-2</v>
      </c>
      <c r="AY150" s="386">
        <f t="shared" si="165"/>
        <v>6.6000000000000003E-2</v>
      </c>
      <c r="AZ150" s="386">
        <f t="shared" si="166"/>
        <v>4.3499999999999997E-2</v>
      </c>
      <c r="BA150" s="386">
        <f t="shared" si="123"/>
        <v>0.10200000000000001</v>
      </c>
      <c r="BB150" s="386">
        <f t="shared" si="124"/>
        <v>4.5920858279272023</v>
      </c>
      <c r="BC150">
        <f t="shared" si="167"/>
        <v>144</v>
      </c>
      <c r="BD150" s="604">
        <f t="shared" si="125"/>
        <v>0.96909602686885399</v>
      </c>
      <c r="BE150" s="614">
        <f t="shared" si="168"/>
        <v>56.591882571185891</v>
      </c>
      <c r="BF150" s="614">
        <f t="shared" si="169"/>
        <v>38.707123461382274</v>
      </c>
      <c r="BG150" s="9"/>
      <c r="BH150" s="4">
        <f t="shared" si="126"/>
        <v>96.909602686885393</v>
      </c>
      <c r="BI150" s="386">
        <f t="shared" si="127"/>
        <v>1.2930030067827945</v>
      </c>
      <c r="BJ150" s="386">
        <f t="shared" si="128"/>
        <v>2.2012255351440042</v>
      </c>
      <c r="BK150" s="386">
        <f t="shared" si="129"/>
        <v>0.91489908522764551</v>
      </c>
      <c r="BL150" s="386">
        <f t="shared" si="130"/>
        <v>0.32458224100657401</v>
      </c>
    </row>
    <row r="151" spans="7:64" x14ac:dyDescent="0.2">
      <c r="G151">
        <v>142</v>
      </c>
      <c r="H151" s="610">
        <f t="shared" si="131"/>
        <v>27.299999999999997</v>
      </c>
      <c r="I151" s="4" t="str">
        <f t="shared" si="132"/>
        <v>BUCK</v>
      </c>
      <c r="J151">
        <f t="shared" si="170"/>
        <v>1</v>
      </c>
      <c r="K151">
        <f t="shared" si="133"/>
        <v>12</v>
      </c>
      <c r="L151" s="4">
        <f t="shared" si="134"/>
        <v>5.8608058608058613</v>
      </c>
      <c r="M151" s="4">
        <f t="shared" si="135"/>
        <v>12</v>
      </c>
      <c r="N151" s="386">
        <f t="shared" si="136"/>
        <v>0.44451513821851696</v>
      </c>
      <c r="O151" s="386">
        <f t="shared" si="171"/>
        <v>0</v>
      </c>
      <c r="P151" s="4">
        <f t="shared" si="137"/>
        <v>5.7470700176449165</v>
      </c>
      <c r="Q151" s="386">
        <f t="shared" si="138"/>
        <v>12.114140545204853</v>
      </c>
      <c r="R151" s="386">
        <f t="shared" si="116"/>
        <v>0.51174738611092552</v>
      </c>
      <c r="S151" s="386">
        <f t="shared" si="117"/>
        <v>0.7893468939447309</v>
      </c>
      <c r="T151" s="386">
        <f t="shared" si="118"/>
        <v>1.3010942800556564</v>
      </c>
      <c r="U151" s="4">
        <f t="shared" si="139"/>
        <v>1.6590362108694601</v>
      </c>
      <c r="V151" s="386">
        <f t="shared" si="119"/>
        <v>5.504802297952192E-3</v>
      </c>
      <c r="W151" s="386">
        <f t="shared" si="120"/>
        <v>5.504802297952192E-3</v>
      </c>
      <c r="X151" s="386">
        <f t="shared" si="140"/>
        <v>6.0196605190189105</v>
      </c>
      <c r="Y151" s="386">
        <f t="shared" si="121"/>
        <v>7.247262552847003E-2</v>
      </c>
      <c r="Z151" s="603">
        <f t="shared" si="122"/>
        <v>7.247262552847003E-2</v>
      </c>
      <c r="AA151" s="386">
        <f t="shared" si="141"/>
        <v>8.0767359670003067</v>
      </c>
      <c r="AB151" s="386">
        <f t="shared" si="142"/>
        <v>0.37183188411962742</v>
      </c>
      <c r="AC151" s="386">
        <f t="shared" si="143"/>
        <v>0.28029034090909083</v>
      </c>
      <c r="AD151">
        <f t="shared" si="144"/>
        <v>0</v>
      </c>
      <c r="AE151" s="386">
        <f t="shared" si="145"/>
        <v>0.70451440905001694</v>
      </c>
      <c r="AF151" s="386">
        <f t="shared" si="146"/>
        <v>9.0287727443069343</v>
      </c>
      <c r="AG151" s="386">
        <f t="shared" si="147"/>
        <v>0.46465680242953672</v>
      </c>
      <c r="AH151" s="386">
        <f t="shared" si="148"/>
        <v>0.24</v>
      </c>
      <c r="AI151" s="386">
        <f t="shared" si="149"/>
        <v>0.77685058410465402</v>
      </c>
      <c r="AJ151" s="386">
        <f t="shared" si="150"/>
        <v>0</v>
      </c>
      <c r="AK151" s="386">
        <f t="shared" si="151"/>
        <v>0</v>
      </c>
      <c r="AL151" s="386">
        <f t="shared" si="152"/>
        <v>0</v>
      </c>
      <c r="AM151">
        <f t="shared" si="153"/>
        <v>0</v>
      </c>
      <c r="AN151" s="386">
        <f t="shared" si="154"/>
        <v>0</v>
      </c>
      <c r="AO151" s="386">
        <f t="shared" si="155"/>
        <v>12.114140545204853</v>
      </c>
      <c r="AP151" s="386">
        <f t="shared" si="156"/>
        <v>0.27882956218305466</v>
      </c>
      <c r="AQ151" s="386">
        <f t="shared" si="157"/>
        <v>0</v>
      </c>
      <c r="AR151" s="386">
        <f t="shared" si="158"/>
        <v>0.29529707289278101</v>
      </c>
      <c r="AS151" s="386">
        <f t="shared" si="159"/>
        <v>0.27882956218305466</v>
      </c>
      <c r="AT151" s="386">
        <f t="shared" si="160"/>
        <v>0</v>
      </c>
      <c r="AU151" s="386">
        <f t="shared" si="161"/>
        <v>0.42889769999999994</v>
      </c>
      <c r="AV151" s="386">
        <f t="shared" si="162"/>
        <v>0.3260749490733591</v>
      </c>
      <c r="AW151" s="386">
        <f t="shared" si="163"/>
        <v>0.59328000000000003</v>
      </c>
      <c r="AX151" s="386">
        <f t="shared" si="164"/>
        <v>3.6000000000000004E-2</v>
      </c>
      <c r="AY151" s="386">
        <f t="shared" si="165"/>
        <v>6.6000000000000003E-2</v>
      </c>
      <c r="AZ151" s="386">
        <f t="shared" si="166"/>
        <v>4.3499999999999997E-2</v>
      </c>
      <c r="BA151" s="386">
        <f t="shared" si="123"/>
        <v>0.10200000000000001</v>
      </c>
      <c r="BB151" s="386">
        <f t="shared" si="124"/>
        <v>4.6059864230028893</v>
      </c>
      <c r="BC151">
        <f t="shared" si="167"/>
        <v>144</v>
      </c>
      <c r="BD151" s="604">
        <f t="shared" si="125"/>
        <v>0.96900537768450268</v>
      </c>
      <c r="BE151" s="614">
        <f t="shared" si="168"/>
        <v>56.670605452500844</v>
      </c>
      <c r="BF151" s="614">
        <f t="shared" si="169"/>
        <v>38.842529205232701</v>
      </c>
      <c r="BG151" s="9"/>
      <c r="BH151" s="4">
        <f t="shared" si="126"/>
        <v>96.900537768450263</v>
      </c>
      <c r="BI151" s="386">
        <f t="shared" si="127"/>
        <v>1.3010942800556564</v>
      </c>
      <c r="BJ151" s="386">
        <f t="shared" si="128"/>
        <v>2.2055597660474522</v>
      </c>
      <c r="BK151" s="386">
        <f t="shared" si="129"/>
        <v>0.91838682510465397</v>
      </c>
      <c r="BL151" s="386">
        <f t="shared" si="130"/>
        <v>0.3260749490733591</v>
      </c>
    </row>
    <row r="152" spans="7:64" x14ac:dyDescent="0.2">
      <c r="G152">
        <v>143</v>
      </c>
      <c r="H152" s="610">
        <f t="shared" si="131"/>
        <v>27.45</v>
      </c>
      <c r="I152" s="4" t="str">
        <f t="shared" si="132"/>
        <v>BUCK</v>
      </c>
      <c r="J152">
        <f t="shared" si="170"/>
        <v>1</v>
      </c>
      <c r="K152">
        <f t="shared" si="133"/>
        <v>12</v>
      </c>
      <c r="L152" s="4">
        <f t="shared" si="134"/>
        <v>5.8287795992714031</v>
      </c>
      <c r="M152" s="4">
        <f t="shared" si="135"/>
        <v>12</v>
      </c>
      <c r="N152" s="386">
        <f t="shared" si="136"/>
        <v>0.44209033384246127</v>
      </c>
      <c r="O152" s="386">
        <f t="shared" si="171"/>
        <v>0</v>
      </c>
      <c r="P152" s="4">
        <f t="shared" si="137"/>
        <v>5.7721571469027531</v>
      </c>
      <c r="Q152" s="386">
        <f t="shared" si="138"/>
        <v>12.115134467985833</v>
      </c>
      <c r="R152" s="386">
        <f t="shared" si="116"/>
        <v>0.51183480232815981</v>
      </c>
      <c r="S152" s="386">
        <f t="shared" si="117"/>
        <v>0.7973082986008414</v>
      </c>
      <c r="T152" s="386">
        <f t="shared" si="118"/>
        <v>1.3091431009290013</v>
      </c>
      <c r="U152" s="4">
        <f t="shared" si="139"/>
        <v>1.6662782412845634</v>
      </c>
      <c r="V152" s="386">
        <f t="shared" si="119"/>
        <v>5.5529663547567555E-3</v>
      </c>
      <c r="W152" s="386">
        <f t="shared" si="120"/>
        <v>5.5529663547567555E-3</v>
      </c>
      <c r="X152" s="386">
        <f t="shared" si="140"/>
        <v>6.0168016036529028</v>
      </c>
      <c r="Y152" s="386">
        <f t="shared" si="121"/>
        <v>7.2403803075440282E-2</v>
      </c>
      <c r="Z152" s="603">
        <f t="shared" si="122"/>
        <v>7.2403803075440282E-2</v>
      </c>
      <c r="AA152" s="386">
        <f t="shared" si="141"/>
        <v>8.0553376371266765</v>
      </c>
      <c r="AB152" s="386">
        <f t="shared" si="142"/>
        <v>0.36986424735422468</v>
      </c>
      <c r="AC152" s="386">
        <f t="shared" si="143"/>
        <v>0.2818303977272727</v>
      </c>
      <c r="AD152">
        <f t="shared" si="144"/>
        <v>0</v>
      </c>
      <c r="AE152" s="386">
        <f t="shared" si="145"/>
        <v>0.70375328056969244</v>
      </c>
      <c r="AF152" s="386">
        <f t="shared" si="146"/>
        <v>9.0491998944254046</v>
      </c>
      <c r="AG152" s="386">
        <f t="shared" si="147"/>
        <v>0.46676170675683187</v>
      </c>
      <c r="AH152" s="386">
        <f t="shared" si="148"/>
        <v>0.24</v>
      </c>
      <c r="AI152" s="386">
        <f t="shared" si="149"/>
        <v>0.77953293102887011</v>
      </c>
      <c r="AJ152" s="386">
        <f t="shared" si="150"/>
        <v>0</v>
      </c>
      <c r="AK152" s="386">
        <f t="shared" si="151"/>
        <v>0</v>
      </c>
      <c r="AL152" s="386">
        <f t="shared" si="152"/>
        <v>0</v>
      </c>
      <c r="AM152">
        <f t="shared" si="153"/>
        <v>0</v>
      </c>
      <c r="AN152" s="386">
        <f t="shared" si="154"/>
        <v>0</v>
      </c>
      <c r="AO152" s="386">
        <f t="shared" si="155"/>
        <v>12.115134467985833</v>
      </c>
      <c r="AP152" s="386">
        <f t="shared" si="156"/>
        <v>0.27887531803701887</v>
      </c>
      <c r="AQ152" s="386">
        <f t="shared" si="157"/>
        <v>0</v>
      </c>
      <c r="AR152" s="386">
        <f t="shared" si="158"/>
        <v>0.29534839346910258</v>
      </c>
      <c r="AS152" s="386">
        <f t="shared" si="159"/>
        <v>0.27887531803701887</v>
      </c>
      <c r="AT152" s="386">
        <f t="shared" si="160"/>
        <v>0</v>
      </c>
      <c r="AU152" s="386">
        <f t="shared" si="161"/>
        <v>0.43126019999999998</v>
      </c>
      <c r="AV152" s="386">
        <f t="shared" si="162"/>
        <v>0.327552074917075</v>
      </c>
      <c r="AW152" s="386">
        <f t="shared" si="163"/>
        <v>0.59328000000000003</v>
      </c>
      <c r="AX152" s="386">
        <f t="shared" si="164"/>
        <v>3.6000000000000004E-2</v>
      </c>
      <c r="AY152" s="386">
        <f t="shared" si="165"/>
        <v>6.6000000000000003E-2</v>
      </c>
      <c r="AZ152" s="386">
        <f t="shared" si="166"/>
        <v>4.3499999999999997E-2</v>
      </c>
      <c r="BA152" s="386">
        <f t="shared" si="123"/>
        <v>0.10200000000000001</v>
      </c>
      <c r="BB152" s="386">
        <f t="shared" si="124"/>
        <v>4.6198267503439387</v>
      </c>
      <c r="BC152">
        <f t="shared" si="167"/>
        <v>144</v>
      </c>
      <c r="BD152" s="604">
        <f t="shared" si="125"/>
        <v>0.96891513836774634</v>
      </c>
      <c r="BE152" s="614">
        <f t="shared" si="168"/>
        <v>56.750674028484617</v>
      </c>
      <c r="BF152" s="614">
        <f t="shared" si="169"/>
        <v>38.976646551443508</v>
      </c>
      <c r="BG152" s="9"/>
      <c r="BH152" s="4">
        <f t="shared" si="126"/>
        <v>96.891513836774635</v>
      </c>
      <c r="BI152" s="386">
        <f t="shared" si="127"/>
        <v>1.3091431009290013</v>
      </c>
      <c r="BJ152" s="386">
        <f t="shared" si="128"/>
        <v>2.2098948050676652</v>
      </c>
      <c r="BK152" s="386">
        <f t="shared" si="129"/>
        <v>0.92184879702887013</v>
      </c>
      <c r="BL152" s="386">
        <f t="shared" si="130"/>
        <v>0.327552074917075</v>
      </c>
    </row>
    <row r="153" spans="7:64" x14ac:dyDescent="0.2">
      <c r="G153">
        <v>144</v>
      </c>
      <c r="H153" s="610">
        <f t="shared" si="131"/>
        <v>27.599999999999998</v>
      </c>
      <c r="I153" s="4" t="str">
        <f t="shared" si="132"/>
        <v>BUCK</v>
      </c>
      <c r="J153">
        <f t="shared" si="170"/>
        <v>1</v>
      </c>
      <c r="K153">
        <f t="shared" si="133"/>
        <v>12</v>
      </c>
      <c r="L153" s="4">
        <f t="shared" si="134"/>
        <v>5.7971014492753623</v>
      </c>
      <c r="M153" s="4">
        <f t="shared" si="135"/>
        <v>12</v>
      </c>
      <c r="N153" s="386">
        <f t="shared" si="136"/>
        <v>0.4396918402777778</v>
      </c>
      <c r="O153" s="386">
        <f t="shared" si="171"/>
        <v>0</v>
      </c>
      <c r="P153" s="4">
        <f t="shared" si="137"/>
        <v>5.7969720633865247</v>
      </c>
      <c r="Q153" s="386">
        <f t="shared" si="138"/>
        <v>12.116121784299366</v>
      </c>
      <c r="R153" s="386">
        <f t="shared" si="116"/>
        <v>0.51192164576545851</v>
      </c>
      <c r="S153" s="386">
        <f t="shared" si="117"/>
        <v>0.80522783175766166</v>
      </c>
      <c r="T153" s="386">
        <f t="shared" si="118"/>
        <v>1.3171494775231203</v>
      </c>
      <c r="U153" s="4">
        <f t="shared" si="139"/>
        <v>1.6734416906404752</v>
      </c>
      <c r="V153" s="386">
        <f t="shared" si="119"/>
        <v>5.6008141839473044E-3</v>
      </c>
      <c r="W153" s="386">
        <f t="shared" si="120"/>
        <v>5.6008141839473044E-3</v>
      </c>
      <c r="X153" s="386">
        <f t="shared" si="140"/>
        <v>6.0138322066898926</v>
      </c>
      <c r="Y153" s="386">
        <f t="shared" si="121"/>
        <v>7.2332355620441255E-2</v>
      </c>
      <c r="Z153" s="603">
        <f t="shared" si="122"/>
        <v>7.2332355620441255E-2</v>
      </c>
      <c r="AA153" s="386">
        <f t="shared" si="141"/>
        <v>8.0341110987959858</v>
      </c>
      <c r="AB153" s="386">
        <f t="shared" si="142"/>
        <v>0.36791756454244201</v>
      </c>
      <c r="AC153" s="386">
        <f t="shared" si="143"/>
        <v>0.28337045454545451</v>
      </c>
      <c r="AD153">
        <f t="shared" si="144"/>
        <v>0</v>
      </c>
      <c r="AE153" s="386">
        <f t="shared" si="145"/>
        <v>0.7030185971027112</v>
      </c>
      <c r="AF153" s="386">
        <f t="shared" si="146"/>
        <v>9.0693696552834808</v>
      </c>
      <c r="AG153" s="386">
        <f t="shared" si="147"/>
        <v>0.46884475588180785</v>
      </c>
      <c r="AH153" s="386">
        <f t="shared" si="148"/>
        <v>0.24</v>
      </c>
      <c r="AI153" s="386">
        <f t="shared" si="149"/>
        <v>0.78218988060709893</v>
      </c>
      <c r="AJ153" s="386">
        <f t="shared" si="150"/>
        <v>0</v>
      </c>
      <c r="AK153" s="386">
        <f t="shared" si="151"/>
        <v>0</v>
      </c>
      <c r="AL153" s="386">
        <f t="shared" si="152"/>
        <v>0</v>
      </c>
      <c r="AM153">
        <f t="shared" si="153"/>
        <v>0</v>
      </c>
      <c r="AN153" s="386">
        <f t="shared" si="154"/>
        <v>0</v>
      </c>
      <c r="AO153" s="386">
        <f t="shared" si="155"/>
        <v>12.116121784299366</v>
      </c>
      <c r="AP153" s="386">
        <f t="shared" si="156"/>
        <v>0.27892077347474992</v>
      </c>
      <c r="AQ153" s="386">
        <f t="shared" si="157"/>
        <v>0</v>
      </c>
      <c r="AR153" s="386">
        <f t="shared" si="158"/>
        <v>0.29539937807825956</v>
      </c>
      <c r="AS153" s="386">
        <f t="shared" si="159"/>
        <v>0.27892077347474992</v>
      </c>
      <c r="AT153" s="386">
        <f t="shared" si="160"/>
        <v>0</v>
      </c>
      <c r="AU153" s="386">
        <f t="shared" si="161"/>
        <v>0.43362269999999997</v>
      </c>
      <c r="AV153" s="386">
        <f t="shared" si="162"/>
        <v>0.32901386377670727</v>
      </c>
      <c r="AW153" s="386">
        <f t="shared" si="163"/>
        <v>0.59328000000000003</v>
      </c>
      <c r="AX153" s="386">
        <f t="shared" si="164"/>
        <v>3.6000000000000004E-2</v>
      </c>
      <c r="AY153" s="386">
        <f t="shared" si="165"/>
        <v>6.6000000000000003E-2</v>
      </c>
      <c r="AZ153" s="386">
        <f t="shared" si="166"/>
        <v>4.3499999999999997E-2</v>
      </c>
      <c r="BA153" s="386">
        <f t="shared" si="123"/>
        <v>0.10200000000000001</v>
      </c>
      <c r="BB153" s="386">
        <f t="shared" si="124"/>
        <v>4.6336070668922851</v>
      </c>
      <c r="BC153">
        <f t="shared" si="167"/>
        <v>144</v>
      </c>
      <c r="BD153" s="604">
        <f t="shared" si="125"/>
        <v>0.96882530701951575</v>
      </c>
      <c r="BE153" s="614">
        <f t="shared" si="168"/>
        <v>56.832064855135556</v>
      </c>
      <c r="BF153" s="614">
        <f t="shared" si="169"/>
        <v>39.109494030354945</v>
      </c>
      <c r="BG153" s="9"/>
      <c r="BH153" s="4">
        <f t="shared" si="126"/>
        <v>96.88253070195158</v>
      </c>
      <c r="BI153" s="386">
        <f t="shared" si="127"/>
        <v>1.3171494775231203</v>
      </c>
      <c r="BJ153" s="386">
        <f t="shared" si="128"/>
        <v>2.2142305557880695</v>
      </c>
      <c r="BK153" s="386">
        <f t="shared" si="129"/>
        <v>0.92528537160709889</v>
      </c>
      <c r="BL153" s="386">
        <f t="shared" si="130"/>
        <v>0.32901386377670727</v>
      </c>
    </row>
    <row r="154" spans="7:64" x14ac:dyDescent="0.2">
      <c r="G154">
        <v>145</v>
      </c>
      <c r="H154" s="610">
        <f t="shared" si="131"/>
        <v>27.75</v>
      </c>
      <c r="I154" s="4" t="str">
        <f t="shared" si="132"/>
        <v>BUCK</v>
      </c>
      <c r="J154">
        <f t="shared" si="170"/>
        <v>1</v>
      </c>
      <c r="K154">
        <f t="shared" si="133"/>
        <v>12</v>
      </c>
      <c r="L154" s="4">
        <f t="shared" si="134"/>
        <v>5.7657657657657655</v>
      </c>
      <c r="M154" s="4">
        <f t="shared" si="135"/>
        <v>12</v>
      </c>
      <c r="N154" s="386">
        <f t="shared" si="136"/>
        <v>0.43731923159939562</v>
      </c>
      <c r="O154" s="386">
        <f t="shared" si="171"/>
        <v>0</v>
      </c>
      <c r="P154" s="4">
        <f t="shared" si="137"/>
        <v>5.8215191737351377</v>
      </c>
      <c r="Q154" s="386">
        <f t="shared" si="138"/>
        <v>12.117102532818938</v>
      </c>
      <c r="R154" s="386">
        <f t="shared" si="116"/>
        <v>0.51200791965996095</v>
      </c>
      <c r="S154" s="386">
        <f t="shared" si="117"/>
        <v>0.81310551135266773</v>
      </c>
      <c r="T154" s="386">
        <f t="shared" si="118"/>
        <v>1.3251134310126287</v>
      </c>
      <c r="U154" s="4">
        <f t="shared" si="139"/>
        <v>1.6805278310242748</v>
      </c>
      <c r="V154" s="386">
        <f t="shared" si="119"/>
        <v>5.648347581694307E-3</v>
      </c>
      <c r="W154" s="386">
        <f t="shared" si="120"/>
        <v>5.648347581694307E-3</v>
      </c>
      <c r="X154" s="386">
        <f t="shared" si="140"/>
        <v>6.0107561150534927</v>
      </c>
      <c r="Y154" s="386">
        <f t="shared" si="121"/>
        <v>7.2258378149305913E-2</v>
      </c>
      <c r="Z154" s="603">
        <f t="shared" si="122"/>
        <v>7.2258378149305913E-2</v>
      </c>
      <c r="AA154" s="386">
        <f t="shared" si="141"/>
        <v>8.0130540284232072</v>
      </c>
      <c r="AB154" s="386">
        <f t="shared" si="142"/>
        <v>0.36599149871584752</v>
      </c>
      <c r="AC154" s="386">
        <f t="shared" si="143"/>
        <v>0.28491051136363632</v>
      </c>
      <c r="AD154">
        <f t="shared" si="144"/>
        <v>0</v>
      </c>
      <c r="AE154" s="386">
        <f t="shared" si="145"/>
        <v>0.70230990070379584</v>
      </c>
      <c r="AF154" s="386">
        <f t="shared" si="146"/>
        <v>9.0892870418101399</v>
      </c>
      <c r="AG154" s="386">
        <f t="shared" si="147"/>
        <v>0.47090629189198102</v>
      </c>
      <c r="AH154" s="386">
        <f t="shared" si="148"/>
        <v>0.24</v>
      </c>
      <c r="AI154" s="386">
        <f t="shared" si="149"/>
        <v>0.78482179626722126</v>
      </c>
      <c r="AJ154" s="386">
        <f t="shared" si="150"/>
        <v>0</v>
      </c>
      <c r="AK154" s="386">
        <f t="shared" si="151"/>
        <v>0</v>
      </c>
      <c r="AL154" s="386">
        <f t="shared" si="152"/>
        <v>0</v>
      </c>
      <c r="AM154">
        <f t="shared" si="153"/>
        <v>0</v>
      </c>
      <c r="AN154" s="386">
        <f t="shared" si="154"/>
        <v>0</v>
      </c>
      <c r="AO154" s="386">
        <f t="shared" si="155"/>
        <v>12.117102532818938</v>
      </c>
      <c r="AP154" s="386">
        <f t="shared" si="156"/>
        <v>0.27896593020260957</v>
      </c>
      <c r="AQ154" s="386">
        <f t="shared" si="157"/>
        <v>0</v>
      </c>
      <c r="AR154" s="386">
        <f t="shared" si="158"/>
        <v>0.29545002861479219</v>
      </c>
      <c r="AS154" s="386">
        <f t="shared" si="159"/>
        <v>0.27896593020260957</v>
      </c>
      <c r="AT154" s="386">
        <f t="shared" si="160"/>
        <v>0</v>
      </c>
      <c r="AU154" s="386">
        <f t="shared" si="161"/>
        <v>0.43598520000000002</v>
      </c>
      <c r="AV154" s="386">
        <f t="shared" si="162"/>
        <v>0.33046055571367089</v>
      </c>
      <c r="AW154" s="386">
        <f t="shared" si="163"/>
        <v>0.59328000000000003</v>
      </c>
      <c r="AX154" s="386">
        <f t="shared" si="164"/>
        <v>3.6000000000000004E-2</v>
      </c>
      <c r="AY154" s="386">
        <f t="shared" si="165"/>
        <v>6.6000000000000003E-2</v>
      </c>
      <c r="AZ154" s="386">
        <f t="shared" si="166"/>
        <v>4.3499999999999997E-2</v>
      </c>
      <c r="BA154" s="386">
        <f t="shared" si="123"/>
        <v>0.10200000000000001</v>
      </c>
      <c r="BB154" s="386">
        <f t="shared" si="124"/>
        <v>4.6473276380431088</v>
      </c>
      <c r="BC154">
        <f t="shared" si="167"/>
        <v>144</v>
      </c>
      <c r="BD154" s="604">
        <f t="shared" si="125"/>
        <v>0.96873588168796831</v>
      </c>
      <c r="BE154" s="614">
        <f t="shared" si="168"/>
        <v>56.914755035189792</v>
      </c>
      <c r="BF154" s="614">
        <f t="shared" si="169"/>
        <v>39.241089813361064</v>
      </c>
      <c r="BG154" s="9"/>
      <c r="BH154" s="4">
        <f t="shared" si="126"/>
        <v>96.873588168796829</v>
      </c>
      <c r="BI154" s="386">
        <f t="shared" si="127"/>
        <v>1.3251134310126287</v>
      </c>
      <c r="BJ154" s="386">
        <f t="shared" si="128"/>
        <v>2.2185669255858094</v>
      </c>
      <c r="BK154" s="386">
        <f t="shared" si="129"/>
        <v>0.92869691226722129</v>
      </c>
      <c r="BL154" s="386">
        <f t="shared" si="130"/>
        <v>0.33046055571367089</v>
      </c>
    </row>
    <row r="155" spans="7:64" x14ac:dyDescent="0.2">
      <c r="G155">
        <v>146</v>
      </c>
      <c r="H155" s="610">
        <f t="shared" si="131"/>
        <v>27.9</v>
      </c>
      <c r="I155" s="4" t="str">
        <f t="shared" si="132"/>
        <v>BUCK</v>
      </c>
      <c r="J155">
        <f t="shared" si="170"/>
        <v>1</v>
      </c>
      <c r="K155">
        <f t="shared" si="133"/>
        <v>12</v>
      </c>
      <c r="L155" s="4">
        <f t="shared" si="134"/>
        <v>5.7347670250896057</v>
      </c>
      <c r="M155" s="4">
        <f t="shared" si="135"/>
        <v>12</v>
      </c>
      <c r="N155" s="386">
        <f t="shared" si="136"/>
        <v>0.4349720910261915</v>
      </c>
      <c r="O155" s="386">
        <f t="shared" si="171"/>
        <v>0</v>
      </c>
      <c r="P155" s="4">
        <f t="shared" si="137"/>
        <v>5.8458027899838294</v>
      </c>
      <c r="Q155" s="386">
        <f t="shared" si="138"/>
        <v>12.118076752863134</v>
      </c>
      <c r="R155" s="386">
        <f t="shared" si="116"/>
        <v>0.51209362730792973</v>
      </c>
      <c r="S155" s="386">
        <f t="shared" si="117"/>
        <v>0.82094136765875991</v>
      </c>
      <c r="T155" s="386">
        <f t="shared" si="118"/>
        <v>1.3330349949666895</v>
      </c>
      <c r="U155" s="4">
        <f t="shared" si="139"/>
        <v>1.6875379072133148</v>
      </c>
      <c r="V155" s="386">
        <f t="shared" si="119"/>
        <v>5.6955683765637878E-3</v>
      </c>
      <c r="W155" s="386">
        <f t="shared" si="120"/>
        <v>5.6955683765637878E-3</v>
      </c>
      <c r="X155" s="386">
        <f t="shared" si="140"/>
        <v>6.0075769871278801</v>
      </c>
      <c r="Y155" s="386">
        <f t="shared" si="121"/>
        <v>7.2181962512537001E-2</v>
      </c>
      <c r="Z155" s="603">
        <f t="shared" si="122"/>
        <v>7.2181962512537001E-2</v>
      </c>
      <c r="AA155" s="386">
        <f t="shared" si="141"/>
        <v>7.9921641468966262</v>
      </c>
      <c r="AB155" s="386">
        <f t="shared" si="142"/>
        <v>0.36408572018035729</v>
      </c>
      <c r="AC155" s="386">
        <f t="shared" si="143"/>
        <v>0.28645056818181813</v>
      </c>
      <c r="AD155">
        <f t="shared" si="144"/>
        <v>0</v>
      </c>
      <c r="AE155" s="386">
        <f t="shared" si="145"/>
        <v>0.70162674404269199</v>
      </c>
      <c r="AF155" s="386">
        <f t="shared" si="146"/>
        <v>9.1089569346518502</v>
      </c>
      <c r="AG155" s="386">
        <f t="shared" si="147"/>
        <v>0.47294664969284961</v>
      </c>
      <c r="AH155" s="386">
        <f t="shared" si="148"/>
        <v>0.24</v>
      </c>
      <c r="AI155" s="386">
        <f t="shared" si="149"/>
        <v>0.78742903443415102</v>
      </c>
      <c r="AJ155" s="386">
        <f t="shared" si="150"/>
        <v>0</v>
      </c>
      <c r="AK155" s="386">
        <f t="shared" si="151"/>
        <v>0</v>
      </c>
      <c r="AL155" s="386">
        <f t="shared" si="152"/>
        <v>0</v>
      </c>
      <c r="AM155">
        <f t="shared" si="153"/>
        <v>0</v>
      </c>
      <c r="AN155" s="386">
        <f t="shared" si="154"/>
        <v>0</v>
      </c>
      <c r="AO155" s="386">
        <f t="shared" si="155"/>
        <v>12.118076752863134</v>
      </c>
      <c r="AP155" s="386">
        <f t="shared" si="156"/>
        <v>0.27901078995773559</v>
      </c>
      <c r="AQ155" s="386">
        <f t="shared" si="157"/>
        <v>0</v>
      </c>
      <c r="AR155" s="386">
        <f t="shared" si="158"/>
        <v>0.29550034700803496</v>
      </c>
      <c r="AS155" s="386">
        <f t="shared" si="159"/>
        <v>0.27901078995773559</v>
      </c>
      <c r="AT155" s="386">
        <f t="shared" si="160"/>
        <v>0</v>
      </c>
      <c r="AU155" s="386">
        <f t="shared" si="161"/>
        <v>0.43834769999999995</v>
      </c>
      <c r="AV155" s="386">
        <f t="shared" si="162"/>
        <v>0.33189238574936814</v>
      </c>
      <c r="AW155" s="386">
        <f t="shared" si="163"/>
        <v>0.59328000000000003</v>
      </c>
      <c r="AX155" s="386">
        <f t="shared" si="164"/>
        <v>3.6000000000000004E-2</v>
      </c>
      <c r="AY155" s="386">
        <f t="shared" si="165"/>
        <v>6.6000000000000003E-2</v>
      </c>
      <c r="AZ155" s="386">
        <f t="shared" si="166"/>
        <v>4.3499999999999997E-2</v>
      </c>
      <c r="BA155" s="386">
        <f t="shared" si="123"/>
        <v>0.10200000000000001</v>
      </c>
      <c r="BB155" s="386">
        <f t="shared" si="124"/>
        <v>4.6609887370900358</v>
      </c>
      <c r="BC155">
        <f t="shared" si="167"/>
        <v>144</v>
      </c>
      <c r="BD155" s="604">
        <f t="shared" si="125"/>
        <v>0.96864686037213776</v>
      </c>
      <c r="BE155" s="614">
        <f t="shared" si="168"/>
        <v>56.998722202134601</v>
      </c>
      <c r="BF155" s="614">
        <f t="shared" si="169"/>
        <v>39.371451721707551</v>
      </c>
      <c r="BG155" s="9"/>
      <c r="BH155" s="4">
        <f t="shared" si="126"/>
        <v>96.864686037213772</v>
      </c>
      <c r="BI155" s="386">
        <f t="shared" si="127"/>
        <v>1.3330349949666895</v>
      </c>
      <c r="BJ155" s="386">
        <f t="shared" si="128"/>
        <v>2.2229038254848779</v>
      </c>
      <c r="BK155" s="386">
        <f t="shared" si="129"/>
        <v>0.932083775434151</v>
      </c>
      <c r="BL155" s="386">
        <f t="shared" si="130"/>
        <v>0.33189238574936814</v>
      </c>
    </row>
    <row r="156" spans="7:64" x14ac:dyDescent="0.2">
      <c r="G156">
        <v>147</v>
      </c>
      <c r="H156" s="610">
        <f t="shared" si="131"/>
        <v>28.05</v>
      </c>
      <c r="I156" s="4" t="str">
        <f t="shared" si="132"/>
        <v>BUCK</v>
      </c>
      <c r="J156">
        <f t="shared" si="170"/>
        <v>1</v>
      </c>
      <c r="K156">
        <f t="shared" si="133"/>
        <v>12</v>
      </c>
      <c r="L156" s="4">
        <f t="shared" si="134"/>
        <v>5.7040998217468806</v>
      </c>
      <c r="M156" s="4">
        <f t="shared" si="135"/>
        <v>12</v>
      </c>
      <c r="N156" s="386">
        <f t="shared" si="136"/>
        <v>0.4326500106769165</v>
      </c>
      <c r="O156" s="386">
        <f t="shared" si="171"/>
        <v>0</v>
      </c>
      <c r="P156" s="4">
        <f t="shared" si="137"/>
        <v>5.8698271320893589</v>
      </c>
      <c r="Q156" s="386">
        <f t="shared" si="138"/>
        <v>12.11904448433887</v>
      </c>
      <c r="R156" s="386">
        <f t="shared" si="116"/>
        <v>0.51217877205976114</v>
      </c>
      <c r="S156" s="386">
        <f t="shared" si="117"/>
        <v>0.82873544265885557</v>
      </c>
      <c r="T156" s="386">
        <f t="shared" si="118"/>
        <v>1.3409142147186168</v>
      </c>
      <c r="U156" s="4">
        <f t="shared" si="139"/>
        <v>1.6944731374041804</v>
      </c>
      <c r="V156" s="386">
        <f t="shared" si="119"/>
        <v>5.7424784267687328E-3</v>
      </c>
      <c r="W156" s="386">
        <f t="shared" si="120"/>
        <v>5.7424784267687328E-3</v>
      </c>
      <c r="X156" s="386">
        <f t="shared" si="140"/>
        <v>6.0042983577516091</v>
      </c>
      <c r="Y156" s="386">
        <f t="shared" si="121"/>
        <v>7.2103197537797342E-2</v>
      </c>
      <c r="Z156" s="603">
        <f t="shared" si="122"/>
        <v>7.2103197537797342E-2</v>
      </c>
      <c r="AA156" s="386">
        <f t="shared" si="141"/>
        <v>7.9714392184725789</v>
      </c>
      <c r="AB156" s="386">
        <f t="shared" si="142"/>
        <v>0.36219990631867549</v>
      </c>
      <c r="AC156" s="386">
        <f t="shared" si="143"/>
        <v>0.287990625</v>
      </c>
      <c r="AD156">
        <f t="shared" si="144"/>
        <v>0</v>
      </c>
      <c r="AE156" s="386">
        <f t="shared" si="145"/>
        <v>0.70096869009567087</v>
      </c>
      <c r="AF156" s="386">
        <f t="shared" si="146"/>
        <v>9.1283840847973572</v>
      </c>
      <c r="AG156" s="386">
        <f t="shared" si="147"/>
        <v>0.47496615719761559</v>
      </c>
      <c r="AH156" s="386">
        <f t="shared" si="148"/>
        <v>0.24</v>
      </c>
      <c r="AI156" s="386">
        <f t="shared" si="149"/>
        <v>0.79001194470054192</v>
      </c>
      <c r="AJ156" s="386">
        <f t="shared" si="150"/>
        <v>0</v>
      </c>
      <c r="AK156" s="386">
        <f t="shared" si="151"/>
        <v>0</v>
      </c>
      <c r="AL156" s="386">
        <f t="shared" si="152"/>
        <v>0</v>
      </c>
      <c r="AM156">
        <f t="shared" si="153"/>
        <v>0</v>
      </c>
      <c r="AN156" s="386">
        <f t="shared" si="154"/>
        <v>0</v>
      </c>
      <c r="AO156" s="386">
        <f t="shared" si="155"/>
        <v>12.11904448433887</v>
      </c>
      <c r="AP156" s="386">
        <f t="shared" si="156"/>
        <v>0.27905535450543034</v>
      </c>
      <c r="AQ156" s="386">
        <f t="shared" si="157"/>
        <v>0</v>
      </c>
      <c r="AR156" s="386">
        <f t="shared" si="158"/>
        <v>0.29555033521918822</v>
      </c>
      <c r="AS156" s="386">
        <f t="shared" si="159"/>
        <v>0.27905535450543034</v>
      </c>
      <c r="AT156" s="386">
        <f t="shared" si="160"/>
        <v>0</v>
      </c>
      <c r="AU156" s="386">
        <f t="shared" si="161"/>
        <v>0.4407102</v>
      </c>
      <c r="AV156" s="386">
        <f t="shared" si="162"/>
        <v>0.33330958399832672</v>
      </c>
      <c r="AW156" s="386">
        <f t="shared" si="163"/>
        <v>0.59328000000000003</v>
      </c>
      <c r="AX156" s="386">
        <f t="shared" si="164"/>
        <v>3.6000000000000004E-2</v>
      </c>
      <c r="AY156" s="386">
        <f t="shared" si="165"/>
        <v>6.6000000000000003E-2</v>
      </c>
      <c r="AZ156" s="386">
        <f t="shared" si="166"/>
        <v>4.3499999999999997E-2</v>
      </c>
      <c r="BA156" s="386">
        <f t="shared" si="123"/>
        <v>0.10200000000000001</v>
      </c>
      <c r="BB156" s="386">
        <f t="shared" si="124"/>
        <v>4.6745906446969103</v>
      </c>
      <c r="BC156">
        <f t="shared" si="167"/>
        <v>144</v>
      </c>
      <c r="BD156" s="604">
        <f t="shared" si="125"/>
        <v>0.96855824102540655</v>
      </c>
      <c r="BE156" s="614">
        <f t="shared" si="168"/>
        <v>57.083944504783545</v>
      </c>
      <c r="BF156" s="614">
        <f t="shared" si="169"/>
        <v>39.500597235027094</v>
      </c>
      <c r="BG156" s="9"/>
      <c r="BH156" s="4">
        <f t="shared" si="126"/>
        <v>96.855824102540652</v>
      </c>
      <c r="BI156" s="386">
        <f t="shared" si="127"/>
        <v>1.3409142147186168</v>
      </c>
      <c r="BJ156" s="386">
        <f t="shared" si="128"/>
        <v>2.2272411700154011</v>
      </c>
      <c r="BK156" s="386">
        <f t="shared" si="129"/>
        <v>0.93544631070054196</v>
      </c>
      <c r="BL156" s="386">
        <f t="shared" si="130"/>
        <v>0.33330958399832672</v>
      </c>
    </row>
    <row r="157" spans="7:64" x14ac:dyDescent="0.2">
      <c r="G157">
        <v>148</v>
      </c>
      <c r="H157" s="610">
        <f t="shared" si="131"/>
        <v>28.2</v>
      </c>
      <c r="I157" s="4" t="str">
        <f t="shared" si="132"/>
        <v>BUCK</v>
      </c>
      <c r="J157">
        <f t="shared" si="170"/>
        <v>1</v>
      </c>
      <c r="K157">
        <f t="shared" si="133"/>
        <v>12</v>
      </c>
      <c r="L157" s="4">
        <f t="shared" si="134"/>
        <v>5.6737588652482271</v>
      </c>
      <c r="M157" s="4">
        <f t="shared" si="135"/>
        <v>12</v>
      </c>
      <c r="N157" s="386">
        <f t="shared" si="136"/>
        <v>0.43035259133389975</v>
      </c>
      <c r="O157" s="386">
        <f t="shared" si="171"/>
        <v>0</v>
      </c>
      <c r="P157" s="4">
        <f t="shared" si="137"/>
        <v>5.8935963303747352</v>
      </c>
      <c r="Q157" s="386">
        <f t="shared" si="138"/>
        <v>12.120005767687733</v>
      </c>
      <c r="R157" s="386">
        <f t="shared" si="116"/>
        <v>0.5122633573152654</v>
      </c>
      <c r="S157" s="386">
        <f t="shared" si="117"/>
        <v>0.83648778944825608</v>
      </c>
      <c r="T157" s="386">
        <f t="shared" si="118"/>
        <v>1.3487511467635214</v>
      </c>
      <c r="U157" s="4">
        <f t="shared" si="139"/>
        <v>1.7013347139184221</v>
      </c>
      <c r="V157" s="386">
        <f t="shared" si="119"/>
        <v>5.7890796175677581E-3</v>
      </c>
      <c r="W157" s="386">
        <f t="shared" si="120"/>
        <v>5.7890796175677581E-3</v>
      </c>
      <c r="X157" s="386">
        <f t="shared" si="140"/>
        <v>6.0009236429862352</v>
      </c>
      <c r="Y157" s="386">
        <f t="shared" si="121"/>
        <v>7.2022169137902381E-2</v>
      </c>
      <c r="Z157" s="603">
        <f t="shared" si="122"/>
        <v>7.2022169137902381E-2</v>
      </c>
      <c r="AA157" s="386">
        <f t="shared" si="141"/>
        <v>7.9508770497040668</v>
      </c>
      <c r="AB157" s="386">
        <f t="shared" si="142"/>
        <v>0.36033374139921187</v>
      </c>
      <c r="AC157" s="386">
        <f t="shared" si="143"/>
        <v>0.28953068181818181</v>
      </c>
      <c r="AD157">
        <f t="shared" si="144"/>
        <v>0</v>
      </c>
      <c r="AE157" s="386">
        <f t="shared" si="145"/>
        <v>0.70033531184781506</v>
      </c>
      <c r="AF157" s="386">
        <f t="shared" si="146"/>
        <v>9.1475731180063846</v>
      </c>
      <c r="AG157" s="386">
        <f t="shared" si="147"/>
        <v>0.4769651355108564</v>
      </c>
      <c r="AH157" s="386">
        <f t="shared" si="148"/>
        <v>0.24</v>
      </c>
      <c r="AI157" s="386">
        <f t="shared" si="149"/>
        <v>0.79257086999243631</v>
      </c>
      <c r="AJ157" s="386">
        <f t="shared" si="150"/>
        <v>0</v>
      </c>
      <c r="AK157" s="386">
        <f t="shared" si="151"/>
        <v>0</v>
      </c>
      <c r="AL157" s="386">
        <f t="shared" si="152"/>
        <v>0</v>
      </c>
      <c r="AM157">
        <f t="shared" si="153"/>
        <v>0</v>
      </c>
      <c r="AN157" s="386">
        <f t="shared" si="154"/>
        <v>0</v>
      </c>
      <c r="AO157" s="386">
        <f t="shared" si="155"/>
        <v>12.120005767687733</v>
      </c>
      <c r="AP157" s="386">
        <f t="shared" si="156"/>
        <v>0.27909962563668944</v>
      </c>
      <c r="AQ157" s="386">
        <f t="shared" si="157"/>
        <v>0</v>
      </c>
      <c r="AR157" s="386">
        <f t="shared" si="158"/>
        <v>0.29559999523854658</v>
      </c>
      <c r="AS157" s="386">
        <f t="shared" si="159"/>
        <v>0.27909962563668944</v>
      </c>
      <c r="AT157" s="386">
        <f t="shared" si="160"/>
        <v>0</v>
      </c>
      <c r="AU157" s="386">
        <f t="shared" si="161"/>
        <v>0.44307269999999999</v>
      </c>
      <c r="AV157" s="386">
        <f t="shared" si="162"/>
        <v>0.33471237579709218</v>
      </c>
      <c r="AW157" s="386">
        <f t="shared" si="163"/>
        <v>0.59328000000000003</v>
      </c>
      <c r="AX157" s="386">
        <f t="shared" si="164"/>
        <v>3.6000000000000004E-2</v>
      </c>
      <c r="AY157" s="386">
        <f t="shared" si="165"/>
        <v>6.6000000000000003E-2</v>
      </c>
      <c r="AZ157" s="386">
        <f t="shared" si="166"/>
        <v>4.3499999999999997E-2</v>
      </c>
      <c r="BA157" s="386">
        <f t="shared" si="123"/>
        <v>0.10200000000000001</v>
      </c>
      <c r="BB157" s="386">
        <f t="shared" si="124"/>
        <v>4.6881336483948814</v>
      </c>
      <c r="BC157">
        <f t="shared" si="167"/>
        <v>144</v>
      </c>
      <c r="BD157" s="604">
        <f t="shared" si="125"/>
        <v>0.96847002155880857</v>
      </c>
      <c r="BE157" s="614">
        <f t="shared" si="168"/>
        <v>57.170400592390756</v>
      </c>
      <c r="BF157" s="614">
        <f t="shared" si="169"/>
        <v>39.628543499621813</v>
      </c>
      <c r="BG157" s="9"/>
      <c r="BH157" s="4">
        <f t="shared" si="126"/>
        <v>96.847002155880858</v>
      </c>
      <c r="BI157" s="386">
        <f t="shared" si="127"/>
        <v>1.3487511467635214</v>
      </c>
      <c r="BJ157" s="386">
        <f t="shared" si="128"/>
        <v>2.2315788770787979</v>
      </c>
      <c r="BK157" s="386">
        <f t="shared" si="129"/>
        <v>0.9387848609924363</v>
      </c>
      <c r="BL157" s="386">
        <f t="shared" si="130"/>
        <v>0.33471237579709218</v>
      </c>
    </row>
    <row r="158" spans="7:64" x14ac:dyDescent="0.2">
      <c r="G158">
        <v>149</v>
      </c>
      <c r="H158" s="610">
        <f t="shared" si="131"/>
        <v>28.35</v>
      </c>
      <c r="I158" s="4" t="str">
        <f t="shared" si="132"/>
        <v>BUCK</v>
      </c>
      <c r="J158">
        <f t="shared" si="170"/>
        <v>1</v>
      </c>
      <c r="K158">
        <f t="shared" si="133"/>
        <v>12</v>
      </c>
      <c r="L158" s="4">
        <f t="shared" si="134"/>
        <v>5.6437389770723101</v>
      </c>
      <c r="M158" s="4">
        <f t="shared" si="135"/>
        <v>12</v>
      </c>
      <c r="N158" s="386">
        <f t="shared" si="136"/>
        <v>0.42807944221424044</v>
      </c>
      <c r="O158" s="386">
        <f t="shared" si="171"/>
        <v>0</v>
      </c>
      <c r="P158" s="4">
        <f t="shared" si="137"/>
        <v>5.9171144278964816</v>
      </c>
      <c r="Q158" s="386">
        <f t="shared" si="138"/>
        <v>12.120960643835195</v>
      </c>
      <c r="R158" s="386">
        <f t="shared" si="116"/>
        <v>0.51234738651919798</v>
      </c>
      <c r="S158" s="386">
        <f t="shared" si="117"/>
        <v>0.84419847166356066</v>
      </c>
      <c r="T158" s="386">
        <f t="shared" si="118"/>
        <v>1.3565458581827587</v>
      </c>
      <c r="U158" s="4">
        <f t="shared" si="139"/>
        <v>1.7081238038859261</v>
      </c>
      <c r="V158" s="386">
        <f t="shared" si="119"/>
        <v>5.8353738588034516E-3</v>
      </c>
      <c r="W158" s="386">
        <f t="shared" si="120"/>
        <v>5.8353738588034516E-3</v>
      </c>
      <c r="X158" s="386">
        <f t="shared" si="140"/>
        <v>5.9974561446714416</v>
      </c>
      <c r="Y158" s="386">
        <f t="shared" si="121"/>
        <v>7.1938960414514475E-2</v>
      </c>
      <c r="Z158" s="603">
        <f t="shared" si="122"/>
        <v>7.1938960414514475E-2</v>
      </c>
      <c r="AA158" s="386">
        <f t="shared" si="141"/>
        <v>7.9304754884019841</v>
      </c>
      <c r="AB158" s="386">
        <f t="shared" si="142"/>
        <v>0.35848691639122476</v>
      </c>
      <c r="AC158" s="386">
        <f t="shared" si="143"/>
        <v>0.29107073863636368</v>
      </c>
      <c r="AD158">
        <f t="shared" si="144"/>
        <v>0</v>
      </c>
      <c r="AE158" s="386">
        <f t="shared" si="145"/>
        <v>0.6997261920056439</v>
      </c>
      <c r="AF158" s="386">
        <f t="shared" si="146"/>
        <v>9.1665285390521216</v>
      </c>
      <c r="AG158" s="386">
        <f t="shared" si="147"/>
        <v>0.47894389910636509</v>
      </c>
      <c r="AH158" s="386">
        <f t="shared" si="148"/>
        <v>0.24</v>
      </c>
      <c r="AI158" s="386">
        <f t="shared" si="149"/>
        <v>0.79510614673002844</v>
      </c>
      <c r="AJ158" s="386">
        <f t="shared" si="150"/>
        <v>0</v>
      </c>
      <c r="AK158" s="386">
        <f t="shared" si="151"/>
        <v>0</v>
      </c>
      <c r="AL158" s="386">
        <f t="shared" si="152"/>
        <v>0</v>
      </c>
      <c r="AM158">
        <f t="shared" si="153"/>
        <v>0</v>
      </c>
      <c r="AN158" s="386">
        <f t="shared" si="154"/>
        <v>0</v>
      </c>
      <c r="AO158" s="386">
        <f t="shared" si="155"/>
        <v>12.120960643835195</v>
      </c>
      <c r="AP158" s="386">
        <f t="shared" si="156"/>
        <v>0.27914360516586323</v>
      </c>
      <c r="AQ158" s="386">
        <f t="shared" si="157"/>
        <v>0</v>
      </c>
      <c r="AR158" s="386">
        <f t="shared" si="158"/>
        <v>0.29564932908287572</v>
      </c>
      <c r="AS158" s="386">
        <f t="shared" si="159"/>
        <v>0.27914360516586323</v>
      </c>
      <c r="AT158" s="386">
        <f t="shared" si="160"/>
        <v>0</v>
      </c>
      <c r="AU158" s="386">
        <f t="shared" si="161"/>
        <v>0.44543520000000003</v>
      </c>
      <c r="AV158" s="386">
        <f t="shared" si="162"/>
        <v>0.33610098182902814</v>
      </c>
      <c r="AW158" s="386">
        <f t="shared" si="163"/>
        <v>0.59328000000000003</v>
      </c>
      <c r="AX158" s="386">
        <f t="shared" si="164"/>
        <v>3.6000000000000004E-2</v>
      </c>
      <c r="AY158" s="386">
        <f t="shared" si="165"/>
        <v>6.6000000000000003E-2</v>
      </c>
      <c r="AZ158" s="386">
        <f t="shared" si="166"/>
        <v>4.3499999999999997E-2</v>
      </c>
      <c r="BA158" s="386">
        <f t="shared" si="123"/>
        <v>0.10200000000000001</v>
      </c>
      <c r="BB158" s="386">
        <f t="shared" si="124"/>
        <v>4.7016180421036529</v>
      </c>
      <c r="BC158">
        <f t="shared" si="167"/>
        <v>144</v>
      </c>
      <c r="BD158" s="604">
        <f t="shared" si="125"/>
        <v>0.96838219984417095</v>
      </c>
      <c r="BE158" s="614">
        <f t="shared" si="168"/>
        <v>57.258069600282191</v>
      </c>
      <c r="BF158" s="614">
        <f t="shared" si="169"/>
        <v>39.755307336501424</v>
      </c>
      <c r="BG158" s="9"/>
      <c r="BH158" s="4">
        <f t="shared" si="126"/>
        <v>96.838219984417094</v>
      </c>
      <c r="BI158" s="386">
        <f t="shared" si="127"/>
        <v>1.3565458581827587</v>
      </c>
      <c r="BJ158" s="386">
        <f t="shared" si="128"/>
        <v>2.2359168678185481</v>
      </c>
      <c r="BK158" s="386">
        <f t="shared" si="129"/>
        <v>0.94209976273002849</v>
      </c>
      <c r="BL158" s="386">
        <f t="shared" si="130"/>
        <v>0.33610098182902814</v>
      </c>
    </row>
    <row r="159" spans="7:64" x14ac:dyDescent="0.2">
      <c r="G159">
        <v>150</v>
      </c>
      <c r="H159" s="610">
        <f t="shared" si="131"/>
        <v>28.5</v>
      </c>
      <c r="I159" s="4" t="str">
        <f t="shared" si="132"/>
        <v>BUCK</v>
      </c>
      <c r="J159">
        <f t="shared" si="170"/>
        <v>1</v>
      </c>
      <c r="K159">
        <f t="shared" si="133"/>
        <v>12</v>
      </c>
      <c r="L159" s="4">
        <f t="shared" si="134"/>
        <v>5.6140350877192979</v>
      </c>
      <c r="M159" s="4">
        <f t="shared" si="135"/>
        <v>12</v>
      </c>
      <c r="N159" s="386">
        <f t="shared" si="136"/>
        <v>0.42583018074821355</v>
      </c>
      <c r="O159" s="386">
        <f t="shared" si="171"/>
        <v>0</v>
      </c>
      <c r="P159" s="4">
        <f t="shared" si="137"/>
        <v>5.940385382737249</v>
      </c>
      <c r="Q159" s="386">
        <f t="shared" si="138"/>
        <v>12.121909154142616</v>
      </c>
      <c r="R159" s="386">
        <f t="shared" si="116"/>
        <v>0.51243086315703246</v>
      </c>
      <c r="S159" s="386">
        <f t="shared" si="117"/>
        <v>0.85186756293691424</v>
      </c>
      <c r="T159" s="386">
        <f t="shared" si="118"/>
        <v>1.3642984260939466</v>
      </c>
      <c r="U159" s="4">
        <f t="shared" si="139"/>
        <v>1.7148415499067344</v>
      </c>
      <c r="V159" s="386">
        <f t="shared" si="119"/>
        <v>5.8813630825730627E-3</v>
      </c>
      <c r="W159" s="386">
        <f t="shared" si="120"/>
        <v>5.8813630825730627E-3</v>
      </c>
      <c r="X159" s="386">
        <f t="shared" si="140"/>
        <v>5.9938990547776951</v>
      </c>
      <c r="Y159" s="386">
        <f t="shared" si="121"/>
        <v>7.1853651757729897E-2</v>
      </c>
      <c r="Z159" s="603">
        <f t="shared" si="122"/>
        <v>7.1853651757729897E-2</v>
      </c>
      <c r="AA159" s="386">
        <f t="shared" si="141"/>
        <v>7.9102324226277787</v>
      </c>
      <c r="AB159" s="386">
        <f t="shared" si="142"/>
        <v>0.35665912878595291</v>
      </c>
      <c r="AC159" s="386">
        <f t="shared" si="143"/>
        <v>0.29261079545454544</v>
      </c>
      <c r="AD159">
        <f t="shared" si="144"/>
        <v>0</v>
      </c>
      <c r="AE159" s="386">
        <f t="shared" si="145"/>
        <v>0.69914092271965844</v>
      </c>
      <c r="AF159" s="386">
        <f t="shared" si="146"/>
        <v>9.1852547357868524</v>
      </c>
      <c r="AG159" s="386">
        <f t="shared" si="147"/>
        <v>0.48090275599938037</v>
      </c>
      <c r="AH159" s="386">
        <f t="shared" si="148"/>
        <v>0.24</v>
      </c>
      <c r="AI159" s="386">
        <f t="shared" si="149"/>
        <v>0.79761810498371466</v>
      </c>
      <c r="AJ159" s="386">
        <f t="shared" si="150"/>
        <v>0</v>
      </c>
      <c r="AK159" s="386">
        <f t="shared" si="151"/>
        <v>0</v>
      </c>
      <c r="AL159" s="386">
        <f t="shared" si="152"/>
        <v>0</v>
      </c>
      <c r="AM159">
        <f t="shared" si="153"/>
        <v>0</v>
      </c>
      <c r="AN159" s="386">
        <f t="shared" si="154"/>
        <v>0</v>
      </c>
      <c r="AO159" s="386">
        <f t="shared" si="155"/>
        <v>12.121909154142616</v>
      </c>
      <c r="AP159" s="386">
        <f t="shared" si="156"/>
        <v>0.27918729492844446</v>
      </c>
      <c r="AQ159" s="386">
        <f t="shared" si="157"/>
        <v>0</v>
      </c>
      <c r="AR159" s="386">
        <f t="shared" si="158"/>
        <v>0.29569833879293111</v>
      </c>
      <c r="AS159" s="386">
        <f t="shared" si="159"/>
        <v>0.27918729492844446</v>
      </c>
      <c r="AT159" s="386">
        <f t="shared" si="160"/>
        <v>0</v>
      </c>
      <c r="AU159" s="386">
        <f t="shared" si="161"/>
        <v>0.44779770000000002</v>
      </c>
      <c r="AV159" s="386">
        <f t="shared" si="162"/>
        <v>0.33747561824517919</v>
      </c>
      <c r="AW159" s="386">
        <f t="shared" si="163"/>
        <v>0.59328000000000003</v>
      </c>
      <c r="AX159" s="386">
        <f t="shared" si="164"/>
        <v>3.6000000000000004E-2</v>
      </c>
      <c r="AY159" s="386">
        <f t="shared" si="165"/>
        <v>6.6000000000000003E-2</v>
      </c>
      <c r="AZ159" s="386">
        <f t="shared" si="166"/>
        <v>4.3499999999999997E-2</v>
      </c>
      <c r="BA159" s="386">
        <f t="shared" si="123"/>
        <v>0.10200000000000001</v>
      </c>
      <c r="BB159" s="386">
        <f t="shared" si="124"/>
        <v>4.7150441256757336</v>
      </c>
      <c r="BC159">
        <f t="shared" si="167"/>
        <v>144</v>
      </c>
      <c r="BD159" s="604">
        <f t="shared" si="125"/>
        <v>0.96829477371710171</v>
      </c>
      <c r="BE159" s="614">
        <f t="shared" si="168"/>
        <v>57.346931135982928</v>
      </c>
      <c r="BF159" s="614">
        <f t="shared" si="169"/>
        <v>39.88090524918573</v>
      </c>
      <c r="BG159" s="9"/>
      <c r="BH159" s="4">
        <f t="shared" si="126"/>
        <v>96.829477371710169</v>
      </c>
      <c r="BI159" s="386">
        <f t="shared" si="127"/>
        <v>1.3642984260939466</v>
      </c>
      <c r="BJ159" s="386">
        <f t="shared" si="128"/>
        <v>2.2402550664963043</v>
      </c>
      <c r="BK159" s="386">
        <f t="shared" si="129"/>
        <v>0.94539134598371466</v>
      </c>
      <c r="BL159" s="386">
        <f t="shared" si="130"/>
        <v>0.33747561824517919</v>
      </c>
    </row>
    <row r="160" spans="7:64" x14ac:dyDescent="0.2">
      <c r="G160">
        <v>151</v>
      </c>
      <c r="H160" s="610">
        <f t="shared" si="131"/>
        <v>28.65</v>
      </c>
      <c r="I160" s="4" t="str">
        <f t="shared" si="132"/>
        <v>BUCK</v>
      </c>
      <c r="J160">
        <f t="shared" si="170"/>
        <v>1</v>
      </c>
      <c r="K160">
        <f t="shared" si="133"/>
        <v>12</v>
      </c>
      <c r="L160" s="4">
        <f t="shared" si="134"/>
        <v>5.5846422338568935</v>
      </c>
      <c r="M160" s="4">
        <f t="shared" si="135"/>
        <v>12</v>
      </c>
      <c r="N160" s="386">
        <f t="shared" si="136"/>
        <v>0.42360443236462475</v>
      </c>
      <c r="O160" s="386">
        <f t="shared" si="171"/>
        <v>0</v>
      </c>
      <c r="P160" s="4">
        <f t="shared" si="137"/>
        <v>5.9634130702265562</v>
      </c>
      <c r="Q160" s="386">
        <f t="shared" si="138"/>
        <v>12.122851340361821</v>
      </c>
      <c r="R160" s="386">
        <f t="shared" si="116"/>
        <v>0.5125137907509586</v>
      </c>
      <c r="S160" s="386">
        <f t="shared" si="117"/>
        <v>0.85949514637446889</v>
      </c>
      <c r="T160" s="386">
        <f t="shared" si="118"/>
        <v>1.3720089371254276</v>
      </c>
      <c r="U160" s="4">
        <f t="shared" si="139"/>
        <v>1.7214890706921175</v>
      </c>
      <c r="V160" s="386">
        <f t="shared" si="119"/>
        <v>5.927049241024821E-3</v>
      </c>
      <c r="W160" s="386">
        <f t="shared" si="120"/>
        <v>5.927049241024821E-3</v>
      </c>
      <c r="X160" s="386">
        <f t="shared" si="140"/>
        <v>5.990255459566785</v>
      </c>
      <c r="Y160" s="386">
        <f t="shared" si="121"/>
        <v>7.1766320941739348E-2</v>
      </c>
      <c r="Z160" s="603">
        <f t="shared" si="122"/>
        <v>7.1766320941739348E-2</v>
      </c>
      <c r="AA160" s="386">
        <f t="shared" si="141"/>
        <v>7.8901457797164127</v>
      </c>
      <c r="AB160" s="386">
        <f t="shared" si="142"/>
        <v>0.3548500824235073</v>
      </c>
      <c r="AC160" s="386">
        <f t="shared" si="143"/>
        <v>0.29415085227272719</v>
      </c>
      <c r="AD160">
        <f t="shared" si="144"/>
        <v>0</v>
      </c>
      <c r="AE160" s="386">
        <f t="shared" si="145"/>
        <v>0.69857910531640788</v>
      </c>
      <c r="AF160" s="386">
        <f t="shared" si="146"/>
        <v>9.2037559830395157</v>
      </c>
      <c r="AG160" s="386">
        <f t="shared" si="147"/>
        <v>0.48284200791341336</v>
      </c>
      <c r="AH160" s="386">
        <f t="shared" si="148"/>
        <v>0.24</v>
      </c>
      <c r="AI160" s="386">
        <f t="shared" si="149"/>
        <v>0.80010706862559255</v>
      </c>
      <c r="AJ160" s="386">
        <f t="shared" si="150"/>
        <v>0</v>
      </c>
      <c r="AK160" s="386">
        <f t="shared" si="151"/>
        <v>0</v>
      </c>
      <c r="AL160" s="386">
        <f t="shared" si="152"/>
        <v>0</v>
      </c>
      <c r="AM160">
        <f t="shared" si="153"/>
        <v>0</v>
      </c>
      <c r="AN160" s="386">
        <f t="shared" si="154"/>
        <v>0</v>
      </c>
      <c r="AO160" s="386">
        <f t="shared" si="155"/>
        <v>12.122851340361821</v>
      </c>
      <c r="AP160" s="386">
        <f t="shared" si="156"/>
        <v>0.27923069677897355</v>
      </c>
      <c r="AQ160" s="386">
        <f t="shared" si="157"/>
        <v>0</v>
      </c>
      <c r="AR160" s="386">
        <f t="shared" si="158"/>
        <v>0.29574702643110706</v>
      </c>
      <c r="AS160" s="386">
        <f t="shared" si="159"/>
        <v>0.27923069677897355</v>
      </c>
      <c r="AT160" s="386">
        <f t="shared" si="160"/>
        <v>0</v>
      </c>
      <c r="AU160" s="386">
        <f t="shared" si="161"/>
        <v>0.45016019999999995</v>
      </c>
      <c r="AV160" s="386">
        <f t="shared" si="162"/>
        <v>0.3388364967813427</v>
      </c>
      <c r="AW160" s="386">
        <f t="shared" si="163"/>
        <v>0.59328000000000003</v>
      </c>
      <c r="AX160" s="386">
        <f t="shared" si="164"/>
        <v>3.6000000000000004E-2</v>
      </c>
      <c r="AY160" s="386">
        <f t="shared" si="165"/>
        <v>6.6000000000000003E-2</v>
      </c>
      <c r="AZ160" s="386">
        <f t="shared" si="166"/>
        <v>4.3499999999999997E-2</v>
      </c>
      <c r="BA160" s="386">
        <f t="shared" si="123"/>
        <v>0.10200000000000001</v>
      </c>
      <c r="BB160" s="386">
        <f t="shared" si="124"/>
        <v>4.728412204462642</v>
      </c>
      <c r="BC160">
        <f t="shared" si="167"/>
        <v>144</v>
      </c>
      <c r="BD160" s="604">
        <f t="shared" si="125"/>
        <v>0.96820774097983164</v>
      </c>
      <c r="BE160" s="614">
        <f t="shared" si="168"/>
        <v>57.436965265820398</v>
      </c>
      <c r="BF160" s="614">
        <f t="shared" si="169"/>
        <v>40.00535343127963</v>
      </c>
      <c r="BG160" s="9"/>
      <c r="BH160" s="4">
        <f t="shared" si="126"/>
        <v>96.820774097983161</v>
      </c>
      <c r="BI160" s="386">
        <f t="shared" si="127"/>
        <v>1.3720089371254276</v>
      </c>
      <c r="BJ160" s="386">
        <f t="shared" si="128"/>
        <v>2.2445934003731076</v>
      </c>
      <c r="BK160" s="386">
        <f t="shared" si="129"/>
        <v>0.94865993462559262</v>
      </c>
      <c r="BL160" s="386">
        <f t="shared" si="130"/>
        <v>0.3388364967813427</v>
      </c>
    </row>
    <row r="161" spans="7:64" x14ac:dyDescent="0.2">
      <c r="G161">
        <v>152</v>
      </c>
      <c r="H161" s="610">
        <f t="shared" si="131"/>
        <v>28.8</v>
      </c>
      <c r="I161" s="4" t="str">
        <f t="shared" si="132"/>
        <v>BUCK</v>
      </c>
      <c r="J161">
        <f t="shared" si="170"/>
        <v>1</v>
      </c>
      <c r="K161">
        <f t="shared" si="133"/>
        <v>12</v>
      </c>
      <c r="L161" s="4">
        <f t="shared" si="134"/>
        <v>5.5555555555555554</v>
      </c>
      <c r="M161" s="4">
        <f t="shared" si="135"/>
        <v>12</v>
      </c>
      <c r="N161" s="386">
        <f t="shared" si="136"/>
        <v>0.42140183028286188</v>
      </c>
      <c r="O161" s="386">
        <f t="shared" si="171"/>
        <v>0</v>
      </c>
      <c r="P161" s="4">
        <f t="shared" si="137"/>
        <v>5.9862012850922222</v>
      </c>
      <c r="Q161" s="386">
        <f t="shared" si="138"/>
        <v>12.123787244592204</v>
      </c>
      <c r="R161" s="386">
        <f t="shared" si="116"/>
        <v>0.51259617285609904</v>
      </c>
      <c r="S161" s="386">
        <f t="shared" si="117"/>
        <v>0.86708131405796196</v>
      </c>
      <c r="T161" s="386">
        <f t="shared" si="118"/>
        <v>1.3796774869140611</v>
      </c>
      <c r="U161" s="4">
        <f t="shared" si="139"/>
        <v>1.7280674616856391</v>
      </c>
      <c r="V161" s="386">
        <f t="shared" si="119"/>
        <v>5.9724343042732954E-3</v>
      </c>
      <c r="W161" s="386">
        <f t="shared" si="120"/>
        <v>5.9724343042732954E-3</v>
      </c>
      <c r="X161" s="386">
        <f t="shared" si="140"/>
        <v>5.986528343570038</v>
      </c>
      <c r="Y161" s="386">
        <f t="shared" si="121"/>
        <v>7.1677043216734848E-2</v>
      </c>
      <c r="Z161" s="603">
        <f t="shared" si="122"/>
        <v>7.1677043216734848E-2</v>
      </c>
      <c r="AA161" s="386">
        <f t="shared" si="141"/>
        <v>7.8702135253285581</v>
      </c>
      <c r="AB161" s="386">
        <f t="shared" si="142"/>
        <v>0.35305948732530806</v>
      </c>
      <c r="AC161" s="386">
        <f t="shared" si="143"/>
        <v>0.29569090909090906</v>
      </c>
      <c r="AD161">
        <f t="shared" si="144"/>
        <v>0</v>
      </c>
      <c r="AE161" s="386">
        <f t="shared" si="145"/>
        <v>0.69804035003969578</v>
      </c>
      <c r="AF161" s="386">
        <f t="shared" si="146"/>
        <v>9.2220364463534885</v>
      </c>
      <c r="AG161" s="386">
        <f t="shared" si="147"/>
        <v>0.48476195044187081</v>
      </c>
      <c r="AH161" s="386">
        <f t="shared" si="148"/>
        <v>0.24</v>
      </c>
      <c r="AI161" s="386">
        <f t="shared" si="149"/>
        <v>0.8025733554765706</v>
      </c>
      <c r="AJ161" s="386">
        <f t="shared" si="150"/>
        <v>0</v>
      </c>
      <c r="AK161" s="386">
        <f t="shared" si="151"/>
        <v>0</v>
      </c>
      <c r="AL161" s="386">
        <f t="shared" si="152"/>
        <v>0</v>
      </c>
      <c r="AM161">
        <f t="shared" si="153"/>
        <v>0</v>
      </c>
      <c r="AN161" s="386">
        <f t="shared" si="154"/>
        <v>0</v>
      </c>
      <c r="AO161" s="386">
        <f t="shared" si="155"/>
        <v>12.123787244592204</v>
      </c>
      <c r="AP161" s="386">
        <f t="shared" si="156"/>
        <v>0.27927381258905964</v>
      </c>
      <c r="AQ161" s="386">
        <f t="shared" si="157"/>
        <v>0</v>
      </c>
      <c r="AR161" s="386">
        <f t="shared" si="158"/>
        <v>0.2957953940792169</v>
      </c>
      <c r="AS161" s="386">
        <f t="shared" si="159"/>
        <v>0.27927381258905964</v>
      </c>
      <c r="AT161" s="386">
        <f t="shared" si="160"/>
        <v>0</v>
      </c>
      <c r="AU161" s="386">
        <f t="shared" si="161"/>
        <v>0.4525227</v>
      </c>
      <c r="AV161" s="386">
        <f t="shared" si="162"/>
        <v>0.34018382487148829</v>
      </c>
      <c r="AW161" s="386">
        <f t="shared" si="163"/>
        <v>0.59328000000000003</v>
      </c>
      <c r="AX161" s="386">
        <f t="shared" si="164"/>
        <v>3.6000000000000004E-2</v>
      </c>
      <c r="AY161" s="386">
        <f t="shared" si="165"/>
        <v>6.6000000000000003E-2</v>
      </c>
      <c r="AZ161" s="386">
        <f t="shared" si="166"/>
        <v>4.3499999999999997E-2</v>
      </c>
      <c r="BA161" s="386">
        <f t="shared" si="123"/>
        <v>0.10200000000000001</v>
      </c>
      <c r="BB161" s="386">
        <f t="shared" si="124"/>
        <v>4.7417225889020402</v>
      </c>
      <c r="BC161">
        <f t="shared" si="167"/>
        <v>144</v>
      </c>
      <c r="BD161" s="604">
        <f t="shared" si="125"/>
        <v>0.96812109940391511</v>
      </c>
      <c r="BE161" s="614">
        <f t="shared" si="168"/>
        <v>57.528152501984785</v>
      </c>
      <c r="BF161" s="614">
        <f t="shared" si="169"/>
        <v>40.128667773828532</v>
      </c>
      <c r="BG161" s="9"/>
      <c r="BH161" s="4">
        <f t="shared" si="126"/>
        <v>96.812109940391508</v>
      </c>
      <c r="BI161" s="386">
        <f t="shared" si="127"/>
        <v>1.3796774869140611</v>
      </c>
      <c r="BJ161" s="386">
        <f t="shared" si="128"/>
        <v>2.2489317995954829</v>
      </c>
      <c r="BK161" s="386">
        <f t="shared" si="129"/>
        <v>0.95190584647657062</v>
      </c>
      <c r="BL161" s="386">
        <f t="shared" si="130"/>
        <v>0.34018382487148829</v>
      </c>
    </row>
    <row r="162" spans="7:64" x14ac:dyDescent="0.2">
      <c r="G162">
        <v>153</v>
      </c>
      <c r="H162" s="610">
        <f t="shared" si="131"/>
        <v>28.95</v>
      </c>
      <c r="I162" s="4" t="str">
        <f t="shared" si="132"/>
        <v>BUCK</v>
      </c>
      <c r="J162">
        <f t="shared" si="170"/>
        <v>1</v>
      </c>
      <c r="K162">
        <f t="shared" si="133"/>
        <v>12</v>
      </c>
      <c r="L162" s="4">
        <f t="shared" si="134"/>
        <v>5.5267702936096716</v>
      </c>
      <c r="M162" s="4">
        <f t="shared" si="135"/>
        <v>12</v>
      </c>
      <c r="N162" s="386">
        <f t="shared" si="136"/>
        <v>0.4192220153114008</v>
      </c>
      <c r="O162" s="386">
        <f t="shared" si="171"/>
        <v>0</v>
      </c>
      <c r="P162" s="4">
        <f t="shared" si="137"/>
        <v>6.0087537435450429</v>
      </c>
      <c r="Q162" s="386">
        <f t="shared" si="138"/>
        <v>12.124716909240144</v>
      </c>
      <c r="R162" s="386">
        <f t="shared" si="116"/>
        <v>0.51267801305692862</v>
      </c>
      <c r="S162" s="386">
        <f t="shared" si="117"/>
        <v>0.87462616656839343</v>
      </c>
      <c r="T162" s="386">
        <f t="shared" si="118"/>
        <v>1.387304179625322</v>
      </c>
      <c r="U162" s="4">
        <f t="shared" si="139"/>
        <v>1.7345777956649511</v>
      </c>
      <c r="V162" s="386">
        <f t="shared" si="119"/>
        <v>6.0175202584277611E-3</v>
      </c>
      <c r="W162" s="386">
        <f t="shared" si="120"/>
        <v>6.0175202584277611E-3</v>
      </c>
      <c r="X162" s="386">
        <f t="shared" si="140"/>
        <v>5.9827205933933802</v>
      </c>
      <c r="Y162" s="386">
        <f t="shared" si="121"/>
        <v>7.1585891397226473E-2</v>
      </c>
      <c r="Z162" s="603">
        <f t="shared" si="122"/>
        <v>7.1585891397226473E-2</v>
      </c>
      <c r="AA162" s="386">
        <f t="shared" si="141"/>
        <v>7.8504336625309659</v>
      </c>
      <c r="AB162" s="386">
        <f t="shared" si="142"/>
        <v>0.35128705953185629</v>
      </c>
      <c r="AC162" s="386">
        <f t="shared" si="143"/>
        <v>0.29723096590909087</v>
      </c>
      <c r="AD162">
        <f t="shared" si="144"/>
        <v>0</v>
      </c>
      <c r="AE162" s="386">
        <f t="shared" si="145"/>
        <v>0.69752427580056042</v>
      </c>
      <c r="AF162" s="386">
        <f t="shared" si="146"/>
        <v>9.2401001855723681</v>
      </c>
      <c r="AG162" s="386">
        <f t="shared" si="147"/>
        <v>0.48666287320466273</v>
      </c>
      <c r="AH162" s="386">
        <f t="shared" si="148"/>
        <v>0.24</v>
      </c>
      <c r="AI162" s="386">
        <f t="shared" si="149"/>
        <v>0.80501727744923024</v>
      </c>
      <c r="AJ162" s="386">
        <f t="shared" si="150"/>
        <v>0</v>
      </c>
      <c r="AK162" s="386">
        <f t="shared" si="151"/>
        <v>0</v>
      </c>
      <c r="AL162" s="386">
        <f t="shared" si="152"/>
        <v>0</v>
      </c>
      <c r="AM162">
        <f t="shared" si="153"/>
        <v>0</v>
      </c>
      <c r="AN162" s="386">
        <f t="shared" si="154"/>
        <v>0</v>
      </c>
      <c r="AO162" s="386">
        <f t="shared" si="155"/>
        <v>12.124716909240144</v>
      </c>
      <c r="AP162" s="386">
        <f t="shared" si="156"/>
        <v>0.27931664424550634</v>
      </c>
      <c r="AQ162" s="386">
        <f t="shared" si="157"/>
        <v>0</v>
      </c>
      <c r="AR162" s="386">
        <f t="shared" si="158"/>
        <v>0.29584344383638916</v>
      </c>
      <c r="AS162" s="386">
        <f t="shared" si="159"/>
        <v>0.27931664424550634</v>
      </c>
      <c r="AT162" s="386">
        <f t="shared" si="160"/>
        <v>0</v>
      </c>
      <c r="AU162" s="386">
        <f t="shared" si="161"/>
        <v>0.45488519999999999</v>
      </c>
      <c r="AV162" s="386">
        <f t="shared" si="162"/>
        <v>0.34151780575765806</v>
      </c>
      <c r="AW162" s="386">
        <f t="shared" si="163"/>
        <v>0.59328000000000003</v>
      </c>
      <c r="AX162" s="386">
        <f t="shared" si="164"/>
        <v>3.6000000000000004E-2</v>
      </c>
      <c r="AY162" s="386">
        <f t="shared" si="165"/>
        <v>6.6000000000000003E-2</v>
      </c>
      <c r="AZ162" s="386">
        <f t="shared" si="166"/>
        <v>4.3499999999999997E-2</v>
      </c>
      <c r="BA162" s="386">
        <f t="shared" si="123"/>
        <v>0.10200000000000001</v>
      </c>
      <c r="BB162" s="386">
        <f t="shared" si="124"/>
        <v>4.7549755941248142</v>
      </c>
      <c r="BC162">
        <f t="shared" si="167"/>
        <v>144</v>
      </c>
      <c r="BD162" s="604">
        <f t="shared" si="125"/>
        <v>0.96803484673279994</v>
      </c>
      <c r="BE162" s="614">
        <f t="shared" si="168"/>
        <v>57.620473790028015</v>
      </c>
      <c r="BF162" s="614">
        <f t="shared" si="169"/>
        <v>40.250863872461515</v>
      </c>
      <c r="BG162" s="9"/>
      <c r="BH162" s="4">
        <f t="shared" si="126"/>
        <v>96.803484673279996</v>
      </c>
      <c r="BI162" s="386">
        <f t="shared" si="127"/>
        <v>1.387304179625322</v>
      </c>
      <c r="BJ162" s="386">
        <f t="shared" si="128"/>
        <v>2.2532701970861799</v>
      </c>
      <c r="BK162" s="386">
        <f t="shared" si="129"/>
        <v>0.9551293934492302</v>
      </c>
      <c r="BL162" s="386">
        <f t="shared" si="130"/>
        <v>0.34151780575765806</v>
      </c>
    </row>
    <row r="163" spans="7:64" x14ac:dyDescent="0.2">
      <c r="G163">
        <v>154</v>
      </c>
      <c r="H163" s="610">
        <f t="shared" si="131"/>
        <v>29.1</v>
      </c>
      <c r="I163" s="4" t="str">
        <f t="shared" si="132"/>
        <v>BUCK</v>
      </c>
      <c r="J163">
        <f t="shared" si="170"/>
        <v>1</v>
      </c>
      <c r="K163">
        <f t="shared" si="133"/>
        <v>12</v>
      </c>
      <c r="L163" s="4">
        <f t="shared" si="134"/>
        <v>5.4982817869415808</v>
      </c>
      <c r="M163" s="4">
        <f t="shared" si="135"/>
        <v>12</v>
      </c>
      <c r="N163" s="386">
        <f t="shared" si="136"/>
        <v>0.41706463565253188</v>
      </c>
      <c r="O163" s="386">
        <f t="shared" si="171"/>
        <v>0</v>
      </c>
      <c r="P163" s="4">
        <f t="shared" si="137"/>
        <v>6.0310740852990898</v>
      </c>
      <c r="Q163" s="386">
        <f t="shared" si="138"/>
        <v>12.125640376980668</v>
      </c>
      <c r="R163" s="386">
        <f t="shared" si="116"/>
        <v>0.51275931496388938</v>
      </c>
      <c r="S163" s="386">
        <f t="shared" si="117"/>
        <v>0.88212981253080047</v>
      </c>
      <c r="T163" s="386">
        <f t="shared" si="118"/>
        <v>1.39488912749469</v>
      </c>
      <c r="U163" s="4">
        <f t="shared" si="139"/>
        <v>1.7410211233250028</v>
      </c>
      <c r="V163" s="386">
        <f t="shared" si="119"/>
        <v>6.0623091037277088E-3</v>
      </c>
      <c r="W163" s="386">
        <f t="shared" si="120"/>
        <v>6.0623091037277088E-3</v>
      </c>
      <c r="X163" s="386">
        <f t="shared" si="140"/>
        <v>5.9788350013579237</v>
      </c>
      <c r="Y163" s="386">
        <f t="shared" si="121"/>
        <v>7.1492935946925198E-2</v>
      </c>
      <c r="Z163" s="603">
        <f t="shared" si="122"/>
        <v>7.1492935946925198E-2</v>
      </c>
      <c r="AA163" s="386">
        <f t="shared" si="141"/>
        <v>7.8308042309040147</v>
      </c>
      <c r="AB163" s="386">
        <f t="shared" si="142"/>
        <v>0.34953252094564208</v>
      </c>
      <c r="AC163" s="386">
        <f t="shared" si="143"/>
        <v>0.29877102272727274</v>
      </c>
      <c r="AD163">
        <f t="shared" si="144"/>
        <v>0</v>
      </c>
      <c r="AE163" s="386">
        <f t="shared" si="145"/>
        <v>0.69703050993568405</v>
      </c>
      <c r="AF163" s="386">
        <f t="shared" si="146"/>
        <v>9.2579511582811715</v>
      </c>
      <c r="AG163" s="386">
        <f t="shared" si="147"/>
        <v>0.48854505999998221</v>
      </c>
      <c r="AH163" s="386">
        <f t="shared" si="148"/>
        <v>0.24</v>
      </c>
      <c r="AI163" s="386">
        <f t="shared" si="149"/>
        <v>0.80743914068659561</v>
      </c>
      <c r="AJ163" s="386">
        <f t="shared" si="150"/>
        <v>0</v>
      </c>
      <c r="AK163" s="386">
        <f t="shared" si="151"/>
        <v>0</v>
      </c>
      <c r="AL163" s="386">
        <f t="shared" si="152"/>
        <v>0</v>
      </c>
      <c r="AM163">
        <f t="shared" si="153"/>
        <v>0</v>
      </c>
      <c r="AN163" s="386">
        <f t="shared" si="154"/>
        <v>0</v>
      </c>
      <c r="AO163" s="386">
        <f t="shared" si="155"/>
        <v>12.125640376980668</v>
      </c>
      <c r="AP163" s="386">
        <f t="shared" si="156"/>
        <v>0.27935919364854134</v>
      </c>
      <c r="AQ163" s="386">
        <f t="shared" si="157"/>
        <v>0</v>
      </c>
      <c r="AR163" s="386">
        <f t="shared" si="158"/>
        <v>0.29589117781708069</v>
      </c>
      <c r="AS163" s="386">
        <f t="shared" si="159"/>
        <v>0.27935919364854134</v>
      </c>
      <c r="AT163" s="386">
        <f t="shared" si="160"/>
        <v>0</v>
      </c>
      <c r="AU163" s="386">
        <f t="shared" si="161"/>
        <v>0.45724770000000003</v>
      </c>
      <c r="AV163" s="386">
        <f t="shared" si="162"/>
        <v>0.34283863859647873</v>
      </c>
      <c r="AW163" s="386">
        <f t="shared" si="163"/>
        <v>0.59328000000000003</v>
      </c>
      <c r="AX163" s="386">
        <f t="shared" si="164"/>
        <v>3.6000000000000004E-2</v>
      </c>
      <c r="AY163" s="386">
        <f t="shared" si="165"/>
        <v>6.6000000000000003E-2</v>
      </c>
      <c r="AZ163" s="386">
        <f t="shared" si="166"/>
        <v>4.3499999999999997E-2</v>
      </c>
      <c r="BA163" s="386">
        <f t="shared" si="123"/>
        <v>0.10200000000000001</v>
      </c>
      <c r="BB163" s="386">
        <f t="shared" si="124"/>
        <v>4.7681715395811821</v>
      </c>
      <c r="BC163">
        <f t="shared" si="167"/>
        <v>144</v>
      </c>
      <c r="BD163" s="604">
        <f t="shared" si="125"/>
        <v>0.96794898068426849</v>
      </c>
      <c r="BE163" s="614">
        <f t="shared" si="168"/>
        <v>57.713910496784202</v>
      </c>
      <c r="BF163" s="614">
        <f t="shared" si="169"/>
        <v>40.371957034329782</v>
      </c>
      <c r="BG163" s="9"/>
      <c r="BH163" s="4">
        <f t="shared" si="126"/>
        <v>96.794898068426846</v>
      </c>
      <c r="BI163" s="386">
        <f t="shared" si="127"/>
        <v>1.39488912749469</v>
      </c>
      <c r="BJ163" s="386">
        <f t="shared" si="128"/>
        <v>2.2576085284393606</v>
      </c>
      <c r="BK163" s="386">
        <f t="shared" si="129"/>
        <v>0.95833088168659564</v>
      </c>
      <c r="BL163" s="386">
        <f t="shared" si="130"/>
        <v>0.34283863859647873</v>
      </c>
    </row>
    <row r="164" spans="7:64" x14ac:dyDescent="0.2">
      <c r="G164">
        <v>155</v>
      </c>
      <c r="H164" s="610">
        <f t="shared" si="131"/>
        <v>29.25</v>
      </c>
      <c r="I164" s="4" t="str">
        <f t="shared" si="132"/>
        <v>BUCK</v>
      </c>
      <c r="J164">
        <f t="shared" si="170"/>
        <v>1</v>
      </c>
      <c r="K164">
        <f t="shared" si="133"/>
        <v>12</v>
      </c>
      <c r="L164" s="4">
        <f t="shared" si="134"/>
        <v>5.4700854700854702</v>
      </c>
      <c r="M164" s="4">
        <f t="shared" si="135"/>
        <v>12</v>
      </c>
      <c r="N164" s="386">
        <f t="shared" si="136"/>
        <v>0.41492934671308623</v>
      </c>
      <c r="O164" s="386">
        <f t="shared" si="171"/>
        <v>0</v>
      </c>
      <c r="P164" s="4">
        <f t="shared" si="137"/>
        <v>6.0531658755299551</v>
      </c>
      <c r="Q164" s="386">
        <f t="shared" si="138"/>
        <v>12.126557690721222</v>
      </c>
      <c r="R164" s="386">
        <f t="shared" si="116"/>
        <v>0.5128400822101884</v>
      </c>
      <c r="S164" s="386">
        <f t="shared" si="117"/>
        <v>0.88959236817921217</v>
      </c>
      <c r="T164" s="386">
        <f t="shared" si="118"/>
        <v>1.4024324503894006</v>
      </c>
      <c r="U164" s="4">
        <f t="shared" si="139"/>
        <v>1.7473984738433384</v>
      </c>
      <c r="V164" s="386">
        <f t="shared" si="119"/>
        <v>6.1068028527800564E-3</v>
      </c>
      <c r="W164" s="386">
        <f t="shared" si="120"/>
        <v>6.1068028527800564E-3</v>
      </c>
      <c r="X164" s="386">
        <f t="shared" si="140"/>
        <v>5.9748742689842631</v>
      </c>
      <c r="Y164" s="386">
        <f t="shared" si="121"/>
        <v>7.1398245060340468E-2</v>
      </c>
      <c r="Z164" s="603">
        <f t="shared" si="122"/>
        <v>7.1398245060340468E-2</v>
      </c>
      <c r="AA164" s="386">
        <f t="shared" si="141"/>
        <v>7.8113233056755007</v>
      </c>
      <c r="AB164" s="386">
        <f t="shared" si="142"/>
        <v>0.3477955991789986</v>
      </c>
      <c r="AC164" s="386">
        <f t="shared" si="143"/>
        <v>0.3003110795454545</v>
      </c>
      <c r="AD164">
        <f t="shared" si="144"/>
        <v>0</v>
      </c>
      <c r="AE164" s="386">
        <f t="shared" si="145"/>
        <v>0.69655868797389686</v>
      </c>
      <c r="AF164" s="386">
        <f t="shared" si="146"/>
        <v>9.2755932231098175</v>
      </c>
      <c r="AG164" s="386">
        <f t="shared" si="147"/>
        <v>0.49040878895142448</v>
      </c>
      <c r="AH164" s="386">
        <f t="shared" si="148"/>
        <v>0.24</v>
      </c>
      <c r="AI164" s="386">
        <f t="shared" si="149"/>
        <v>0.80983924569693866</v>
      </c>
      <c r="AJ164" s="386">
        <f t="shared" si="150"/>
        <v>0</v>
      </c>
      <c r="AK164" s="386">
        <f t="shared" si="151"/>
        <v>0</v>
      </c>
      <c r="AL164" s="386">
        <f t="shared" si="152"/>
        <v>0</v>
      </c>
      <c r="AM164">
        <f t="shared" si="153"/>
        <v>0</v>
      </c>
      <c r="AN164" s="386">
        <f t="shared" si="154"/>
        <v>0</v>
      </c>
      <c r="AO164" s="386">
        <f t="shared" si="155"/>
        <v>12.126557690721222</v>
      </c>
      <c r="AP164" s="386">
        <f t="shared" si="156"/>
        <v>0.27940146271014105</v>
      </c>
      <c r="AQ164" s="386">
        <f t="shared" si="157"/>
        <v>0</v>
      </c>
      <c r="AR164" s="386">
        <f t="shared" si="158"/>
        <v>0.29593859814919582</v>
      </c>
      <c r="AS164" s="386">
        <f t="shared" si="159"/>
        <v>0.27940146271014105</v>
      </c>
      <c r="AT164" s="386">
        <f t="shared" si="160"/>
        <v>0</v>
      </c>
      <c r="AU164" s="386">
        <f t="shared" si="161"/>
        <v>0.45961019999999997</v>
      </c>
      <c r="AV164" s="386">
        <f t="shared" si="162"/>
        <v>0.34414651856240314</v>
      </c>
      <c r="AW164" s="386">
        <f t="shared" si="163"/>
        <v>0.59328000000000003</v>
      </c>
      <c r="AX164" s="386">
        <f t="shared" si="164"/>
        <v>3.6000000000000004E-2</v>
      </c>
      <c r="AY164" s="386">
        <f t="shared" si="165"/>
        <v>6.6000000000000003E-2</v>
      </c>
      <c r="AZ164" s="386">
        <f t="shared" si="166"/>
        <v>4.3499999999999997E-2</v>
      </c>
      <c r="BA164" s="386">
        <f t="shared" si="123"/>
        <v>0.10200000000000001</v>
      </c>
      <c r="BB164" s="386">
        <f t="shared" si="124"/>
        <v>4.7813107486849562</v>
      </c>
      <c r="BC164">
        <f t="shared" si="167"/>
        <v>144</v>
      </c>
      <c r="BD164" s="604">
        <f t="shared" si="125"/>
        <v>0.96786349895275936</v>
      </c>
      <c r="BE164" s="614">
        <f t="shared" si="168"/>
        <v>57.808444398694839</v>
      </c>
      <c r="BF164" s="614">
        <f t="shared" si="169"/>
        <v>40.491962284846934</v>
      </c>
      <c r="BG164" s="9"/>
      <c r="BH164" s="4">
        <f t="shared" si="126"/>
        <v>96.786349895275933</v>
      </c>
      <c r="BI164" s="386">
        <f t="shared" si="127"/>
        <v>1.4024324503894006</v>
      </c>
      <c r="BJ164" s="386">
        <f t="shared" si="128"/>
        <v>2.2619467318200313</v>
      </c>
      <c r="BK164" s="386">
        <f t="shared" si="129"/>
        <v>0.96151061169693863</v>
      </c>
      <c r="BL164" s="386">
        <f t="shared" si="130"/>
        <v>0.34414651856240314</v>
      </c>
    </row>
    <row r="165" spans="7:64" x14ac:dyDescent="0.2">
      <c r="G165">
        <v>156</v>
      </c>
      <c r="H165" s="610">
        <f t="shared" si="131"/>
        <v>29.400000000000002</v>
      </c>
      <c r="I165" s="4" t="str">
        <f t="shared" si="132"/>
        <v>BUCK</v>
      </c>
      <c r="J165">
        <f t="shared" si="170"/>
        <v>1</v>
      </c>
      <c r="K165">
        <f t="shared" si="133"/>
        <v>12</v>
      </c>
      <c r="L165" s="4">
        <f t="shared" si="134"/>
        <v>5.4421768707482991</v>
      </c>
      <c r="M165" s="4">
        <f t="shared" si="135"/>
        <v>12</v>
      </c>
      <c r="N165" s="386">
        <f t="shared" si="136"/>
        <v>0.41281581092094538</v>
      </c>
      <c r="O165" s="386">
        <f t="shared" si="171"/>
        <v>0</v>
      </c>
      <c r="P165" s="4">
        <f t="shared" si="137"/>
        <v>6.0750326067731368</v>
      </c>
      <c r="Q165" s="386">
        <f t="shared" si="138"/>
        <v>12.127468893567462</v>
      </c>
      <c r="R165" s="386">
        <f t="shared" si="116"/>
        <v>0.51292031844877228</v>
      </c>
      <c r="S165" s="386">
        <f t="shared" si="117"/>
        <v>0.89701395694086161</v>
      </c>
      <c r="T165" s="386">
        <f t="shared" si="118"/>
        <v>1.409934275389634</v>
      </c>
      <c r="U165" s="4">
        <f t="shared" si="139"/>
        <v>1.7537108554281124</v>
      </c>
      <c r="V165" s="386">
        <f t="shared" si="119"/>
        <v>6.1510035288928041E-3</v>
      </c>
      <c r="W165" s="386">
        <f t="shared" si="120"/>
        <v>6.1510035288928041E-3</v>
      </c>
      <c r="X165" s="386">
        <f t="shared" si="140"/>
        <v>5.9708410103281802</v>
      </c>
      <c r="Y165" s="386">
        <f t="shared" si="121"/>
        <v>7.1301884741233695E-2</v>
      </c>
      <c r="Z165" s="603">
        <f t="shared" si="122"/>
        <v>7.1301884741233695E-2</v>
      </c>
      <c r="AA165" s="386">
        <f t="shared" si="141"/>
        <v>7.7919889968797351</v>
      </c>
      <c r="AB165" s="386">
        <f t="shared" si="142"/>
        <v>0.34607602740672072</v>
      </c>
      <c r="AC165" s="386">
        <f t="shared" si="143"/>
        <v>0.30185113636363636</v>
      </c>
      <c r="AD165">
        <f t="shared" si="144"/>
        <v>0</v>
      </c>
      <c r="AE165" s="386">
        <f t="shared" si="145"/>
        <v>0.69610845341046301</v>
      </c>
      <c r="AF165" s="386">
        <f t="shared" si="146"/>
        <v>9.2930301429055699</v>
      </c>
      <c r="AG165" s="386">
        <f t="shared" si="147"/>
        <v>0.49225433265062363</v>
      </c>
      <c r="AH165" s="386">
        <f t="shared" si="148"/>
        <v>0.24</v>
      </c>
      <c r="AI165" s="386">
        <f t="shared" si="149"/>
        <v>0.8122178874847662</v>
      </c>
      <c r="AJ165" s="386">
        <f t="shared" si="150"/>
        <v>0</v>
      </c>
      <c r="AK165" s="386">
        <f t="shared" si="151"/>
        <v>0</v>
      </c>
      <c r="AL165" s="386">
        <f t="shared" si="152"/>
        <v>0</v>
      </c>
      <c r="AM165">
        <f t="shared" si="153"/>
        <v>0</v>
      </c>
      <c r="AN165" s="386">
        <f t="shared" si="154"/>
        <v>0</v>
      </c>
      <c r="AO165" s="386">
        <f t="shared" si="155"/>
        <v>12.127468893567462</v>
      </c>
      <c r="AP165" s="386">
        <f t="shared" si="156"/>
        <v>0.27944345335244819</v>
      </c>
      <c r="AQ165" s="386">
        <f t="shared" si="157"/>
        <v>0</v>
      </c>
      <c r="AR165" s="386">
        <f t="shared" si="158"/>
        <v>0.2959857069723098</v>
      </c>
      <c r="AS165" s="386">
        <f t="shared" si="159"/>
        <v>0.27944345335244819</v>
      </c>
      <c r="AT165" s="386">
        <f t="shared" si="160"/>
        <v>0</v>
      </c>
      <c r="AU165" s="386">
        <f t="shared" si="161"/>
        <v>0.46197270000000001</v>
      </c>
      <c r="AV165" s="386">
        <f t="shared" si="162"/>
        <v>0.34544163694780605</v>
      </c>
      <c r="AW165" s="386">
        <f t="shared" si="163"/>
        <v>0.59328000000000003</v>
      </c>
      <c r="AX165" s="386">
        <f t="shared" si="164"/>
        <v>3.6000000000000004E-2</v>
      </c>
      <c r="AY165" s="386">
        <f t="shared" si="165"/>
        <v>6.6000000000000003E-2</v>
      </c>
      <c r="AZ165" s="386">
        <f t="shared" si="166"/>
        <v>4.3499999999999997E-2</v>
      </c>
      <c r="BA165" s="386">
        <f t="shared" si="123"/>
        <v>0.10200000000000001</v>
      </c>
      <c r="BB165" s="386">
        <f t="shared" si="124"/>
        <v>4.7943935484751057</v>
      </c>
      <c r="BC165">
        <f t="shared" si="167"/>
        <v>144</v>
      </c>
      <c r="BD165" s="604">
        <f t="shared" si="125"/>
        <v>0.96777839921157272</v>
      </c>
      <c r="BE165" s="614">
        <f t="shared" si="168"/>
        <v>57.904057670523159</v>
      </c>
      <c r="BF165" s="614">
        <f t="shared" si="169"/>
        <v>40.610894374238313</v>
      </c>
      <c r="BG165" s="9"/>
      <c r="BH165" s="4">
        <f t="shared" si="126"/>
        <v>96.777839921157266</v>
      </c>
      <c r="BI165" s="386">
        <f t="shared" si="127"/>
        <v>1.409934275389634</v>
      </c>
      <c r="BJ165" s="386">
        <f t="shared" si="128"/>
        <v>2.2662847478675392</v>
      </c>
      <c r="BK165" s="386">
        <f t="shared" si="129"/>
        <v>0.96466887848476623</v>
      </c>
      <c r="BL165" s="386">
        <f t="shared" si="130"/>
        <v>0.34544163694780605</v>
      </c>
    </row>
    <row r="166" spans="7:64" x14ac:dyDescent="0.2">
      <c r="G166">
        <v>157</v>
      </c>
      <c r="H166" s="610">
        <f t="shared" si="131"/>
        <v>29.55</v>
      </c>
      <c r="I166" s="4" t="str">
        <f t="shared" si="132"/>
        <v>BUCK</v>
      </c>
      <c r="J166">
        <f t="shared" si="170"/>
        <v>1</v>
      </c>
      <c r="K166">
        <f t="shared" si="133"/>
        <v>12</v>
      </c>
      <c r="L166" s="4">
        <f t="shared" si="134"/>
        <v>5.4145516074450084</v>
      </c>
      <c r="M166" s="4">
        <f t="shared" si="135"/>
        <v>12</v>
      </c>
      <c r="N166" s="386">
        <f t="shared" si="136"/>
        <v>0.41072369754713156</v>
      </c>
      <c r="O166" s="386">
        <f t="shared" si="171"/>
        <v>0</v>
      </c>
      <c r="P166" s="4">
        <f t="shared" si="137"/>
        <v>6.0966777007647153</v>
      </c>
      <c r="Q166" s="386">
        <f t="shared" si="138"/>
        <v>12.128374028790923</v>
      </c>
      <c r="R166" s="386">
        <f t="shared" si="116"/>
        <v>0.51300002734946593</v>
      </c>
      <c r="S166" s="386">
        <f t="shared" si="117"/>
        <v>0.90439470903883001</v>
      </c>
      <c r="T166" s="386">
        <f t="shared" si="118"/>
        <v>1.4173947363882959</v>
      </c>
      <c r="U166" s="4">
        <f t="shared" si="139"/>
        <v>1.7599592558494486</v>
      </c>
      <c r="V166" s="386">
        <f t="shared" si="119"/>
        <v>6.1949131645002899E-3</v>
      </c>
      <c r="W166" s="386">
        <f t="shared" si="120"/>
        <v>6.1949131645002899E-3</v>
      </c>
      <c r="X166" s="386">
        <f t="shared" si="140"/>
        <v>5.9667377551750391</v>
      </c>
      <c r="Y166" s="386">
        <f t="shared" si="121"/>
        <v>7.120391887806253E-2</v>
      </c>
      <c r="Z166" s="603">
        <f t="shared" si="122"/>
        <v>7.120391887806253E-2</v>
      </c>
      <c r="AA166" s="386">
        <f t="shared" si="141"/>
        <v>7.7727994485410745</v>
      </c>
      <c r="AB166" s="386">
        <f t="shared" si="142"/>
        <v>0.34437354422327049</v>
      </c>
      <c r="AC166" s="386">
        <f t="shared" si="143"/>
        <v>0.30339119318181818</v>
      </c>
      <c r="AD166">
        <f t="shared" si="144"/>
        <v>0</v>
      </c>
      <c r="AE166" s="386">
        <f t="shared" si="145"/>
        <v>0.69567945748883941</v>
      </c>
      <c r="AF166" s="386">
        <f t="shared" si="146"/>
        <v>9.3102655877804974</v>
      </c>
      <c r="AG166" s="386">
        <f t="shared" si="147"/>
        <v>0.49408195829555546</v>
      </c>
      <c r="AH166" s="386">
        <f t="shared" si="148"/>
        <v>0.24</v>
      </c>
      <c r="AI166" s="386">
        <f t="shared" si="149"/>
        <v>0.81457535567810258</v>
      </c>
      <c r="AJ166" s="386">
        <f t="shared" si="150"/>
        <v>0</v>
      </c>
      <c r="AK166" s="386">
        <f t="shared" si="151"/>
        <v>0</v>
      </c>
      <c r="AL166" s="386">
        <f t="shared" si="152"/>
        <v>0</v>
      </c>
      <c r="AM166">
        <f t="shared" si="153"/>
        <v>0</v>
      </c>
      <c r="AN166" s="386">
        <f t="shared" si="154"/>
        <v>0</v>
      </c>
      <c r="AO166" s="386">
        <f t="shared" si="155"/>
        <v>12.128374028790923</v>
      </c>
      <c r="AP166" s="386">
        <f t="shared" si="156"/>
        <v>0.27948516750627528</v>
      </c>
      <c r="AQ166" s="386">
        <f t="shared" si="157"/>
        <v>0</v>
      </c>
      <c r="AR166" s="386">
        <f t="shared" si="158"/>
        <v>0.29603250643598822</v>
      </c>
      <c r="AS166" s="386">
        <f t="shared" si="159"/>
        <v>0.27948516750627528</v>
      </c>
      <c r="AT166" s="386">
        <f t="shared" si="160"/>
        <v>0</v>
      </c>
      <c r="AU166" s="386">
        <f t="shared" si="161"/>
        <v>0.4643352</v>
      </c>
      <c r="AV166" s="386">
        <f t="shared" si="162"/>
        <v>0.3467241812600389</v>
      </c>
      <c r="AW166" s="386">
        <f t="shared" si="163"/>
        <v>0.59328000000000003</v>
      </c>
      <c r="AX166" s="386">
        <f t="shared" si="164"/>
        <v>3.6000000000000004E-2</v>
      </c>
      <c r="AY166" s="386">
        <f t="shared" si="165"/>
        <v>6.6000000000000003E-2</v>
      </c>
      <c r="AZ166" s="386">
        <f t="shared" si="166"/>
        <v>4.3499999999999997E-2</v>
      </c>
      <c r="BA166" s="386">
        <f t="shared" si="123"/>
        <v>0.10200000000000001</v>
      </c>
      <c r="BB166" s="386">
        <f t="shared" si="124"/>
        <v>4.8074202692938277</v>
      </c>
      <c r="BC166">
        <f t="shared" si="167"/>
        <v>144</v>
      </c>
      <c r="BD166" s="604">
        <f t="shared" si="125"/>
        <v>0.96769367911496662</v>
      </c>
      <c r="BE166" s="614">
        <f t="shared" si="168"/>
        <v>58.000732874441972</v>
      </c>
      <c r="BF166" s="614">
        <f t="shared" si="169"/>
        <v>40.728767783905127</v>
      </c>
      <c r="BG166" s="9"/>
      <c r="BH166" s="4">
        <f t="shared" si="126"/>
        <v>96.769367911496659</v>
      </c>
      <c r="BI166" s="386">
        <f t="shared" si="127"/>
        <v>1.4173947363882959</v>
      </c>
      <c r="BJ166" s="386">
        <f t="shared" si="128"/>
        <v>2.2706225196029299</v>
      </c>
      <c r="BK166" s="386">
        <f t="shared" si="129"/>
        <v>0.96780597167810256</v>
      </c>
      <c r="BL166" s="386">
        <f t="shared" si="130"/>
        <v>0.3467241812600389</v>
      </c>
    </row>
    <row r="167" spans="7:64" x14ac:dyDescent="0.2">
      <c r="G167">
        <v>158</v>
      </c>
      <c r="H167" s="610">
        <f t="shared" si="131"/>
        <v>29.700000000000003</v>
      </c>
      <c r="I167" s="4" t="str">
        <f t="shared" si="132"/>
        <v>BUCK</v>
      </c>
      <c r="J167">
        <f t="shared" si="170"/>
        <v>1</v>
      </c>
      <c r="K167">
        <f t="shared" si="133"/>
        <v>12</v>
      </c>
      <c r="L167" s="4">
        <f t="shared" si="134"/>
        <v>5.3872053872053867</v>
      </c>
      <c r="M167" s="4">
        <f t="shared" si="135"/>
        <v>12</v>
      </c>
      <c r="N167" s="386">
        <f t="shared" si="136"/>
        <v>0.40865268253327952</v>
      </c>
      <c r="O167" s="386">
        <f t="shared" si="171"/>
        <v>0</v>
      </c>
      <c r="P167" s="4">
        <f t="shared" si="137"/>
        <v>6.1181045102263267</v>
      </c>
      <c r="Q167" s="386">
        <f t="shared" si="138"/>
        <v>12.129273139798512</v>
      </c>
      <c r="R167" s="386">
        <f t="shared" si="116"/>
        <v>0.51307921259627021</v>
      </c>
      <c r="S167" s="386">
        <f t="shared" si="117"/>
        <v>0.91173476111228513</v>
      </c>
      <c r="T167" s="386">
        <f t="shared" si="118"/>
        <v>1.4248139737085554</v>
      </c>
      <c r="U167" s="4">
        <f t="shared" si="139"/>
        <v>1.7661446429547167</v>
      </c>
      <c r="V167" s="386">
        <f t="shared" si="119"/>
        <v>6.2385337996752879E-3</v>
      </c>
      <c r="W167" s="386">
        <f t="shared" si="120"/>
        <v>6.2385337996752879E-3</v>
      </c>
      <c r="X167" s="386">
        <f t="shared" si="140"/>
        <v>5.9625669520997482</v>
      </c>
      <c r="Y167" s="386">
        <f t="shared" si="121"/>
        <v>7.1104409316544159E-2</v>
      </c>
      <c r="Z167" s="603">
        <f t="shared" si="122"/>
        <v>7.1104409316544159E-2</v>
      </c>
      <c r="AA167" s="386">
        <f t="shared" si="141"/>
        <v>7.7537528378810325</v>
      </c>
      <c r="AB167" s="386">
        <f t="shared" si="142"/>
        <v>0.34268789350440459</v>
      </c>
      <c r="AC167" s="386">
        <f t="shared" si="143"/>
        <v>0.30493125000000004</v>
      </c>
      <c r="AD167">
        <f t="shared" si="144"/>
        <v>0</v>
      </c>
      <c r="AE167" s="386">
        <f t="shared" si="145"/>
        <v>0.69527135898962444</v>
      </c>
      <c r="AF167" s="386">
        <f t="shared" si="146"/>
        <v>9.3273031380399285</v>
      </c>
      <c r="AG167" s="386">
        <f t="shared" si="147"/>
        <v>0.49589192782467012</v>
      </c>
      <c r="AH167" s="386">
        <f t="shared" si="148"/>
        <v>0.24</v>
      </c>
      <c r="AI167" s="386">
        <f t="shared" si="149"/>
        <v>0.81691193465220235</v>
      </c>
      <c r="AJ167" s="386">
        <f t="shared" si="150"/>
        <v>0</v>
      </c>
      <c r="AK167" s="386">
        <f t="shared" si="151"/>
        <v>0</v>
      </c>
      <c r="AL167" s="386">
        <f t="shared" si="152"/>
        <v>0</v>
      </c>
      <c r="AM167">
        <f t="shared" si="153"/>
        <v>0</v>
      </c>
      <c r="AN167" s="386">
        <f t="shared" si="154"/>
        <v>0</v>
      </c>
      <c r="AO167" s="386">
        <f t="shared" si="155"/>
        <v>12.129273139798512</v>
      </c>
      <c r="AP167" s="386">
        <f t="shared" si="156"/>
        <v>0.27952660710969152</v>
      </c>
      <c r="AQ167" s="386">
        <f t="shared" si="157"/>
        <v>0</v>
      </c>
      <c r="AR167" s="386">
        <f t="shared" si="158"/>
        <v>0.29607899869820004</v>
      </c>
      <c r="AS167" s="386">
        <f t="shared" si="159"/>
        <v>0.27952660710969152</v>
      </c>
      <c r="AT167" s="386">
        <f t="shared" si="160"/>
        <v>0</v>
      </c>
      <c r="AU167" s="386">
        <f t="shared" si="161"/>
        <v>0.46669770000000005</v>
      </c>
      <c r="AV167" s="386">
        <f t="shared" si="162"/>
        <v>0.34799433531555796</v>
      </c>
      <c r="AW167" s="386">
        <f t="shared" si="163"/>
        <v>0.59328000000000003</v>
      </c>
      <c r="AX167" s="386">
        <f t="shared" si="164"/>
        <v>3.6000000000000004E-2</v>
      </c>
      <c r="AY167" s="386">
        <f t="shared" si="165"/>
        <v>6.6000000000000003E-2</v>
      </c>
      <c r="AZ167" s="386">
        <f t="shared" si="166"/>
        <v>4.3499999999999997E-2</v>
      </c>
      <c r="BA167" s="386">
        <f t="shared" si="123"/>
        <v>0.10200000000000001</v>
      </c>
      <c r="BB167" s="386">
        <f t="shared" si="124"/>
        <v>4.8203912444803603</v>
      </c>
      <c r="BC167">
        <f t="shared" si="167"/>
        <v>144</v>
      </c>
      <c r="BD167" s="604">
        <f t="shared" si="125"/>
        <v>0.967609336300148</v>
      </c>
      <c r="BE167" s="614">
        <f t="shared" si="168"/>
        <v>58.098452949481228</v>
      </c>
      <c r="BF167" s="614">
        <f t="shared" si="169"/>
        <v>40.845596732610119</v>
      </c>
      <c r="BG167" s="9"/>
      <c r="BH167" s="4">
        <f t="shared" si="126"/>
        <v>96.760933630014804</v>
      </c>
      <c r="BI167" s="386">
        <f t="shared" si="127"/>
        <v>1.4248139737085554</v>
      </c>
      <c r="BJ167" s="386">
        <f t="shared" si="128"/>
        <v>2.2749599923400265</v>
      </c>
      <c r="BK167" s="386">
        <f t="shared" si="129"/>
        <v>0.9709221756522024</v>
      </c>
      <c r="BL167" s="386">
        <f t="shared" si="130"/>
        <v>0.34799433531555796</v>
      </c>
    </row>
    <row r="168" spans="7:64" x14ac:dyDescent="0.2">
      <c r="G168">
        <v>159</v>
      </c>
      <c r="H168" s="610">
        <f t="shared" si="131"/>
        <v>29.85</v>
      </c>
      <c r="I168" s="4" t="str">
        <f t="shared" si="132"/>
        <v>BUCK</v>
      </c>
      <c r="J168">
        <f t="shared" si="170"/>
        <v>1</v>
      </c>
      <c r="K168">
        <f t="shared" si="133"/>
        <v>12</v>
      </c>
      <c r="L168" s="4">
        <f t="shared" si="134"/>
        <v>5.3601340033500833</v>
      </c>
      <c r="M168" s="4">
        <f t="shared" si="135"/>
        <v>12</v>
      </c>
      <c r="N168" s="386">
        <f t="shared" si="136"/>
        <v>0.40660244832430259</v>
      </c>
      <c r="O168" s="386">
        <f t="shared" si="171"/>
        <v>0</v>
      </c>
      <c r="P168" s="4">
        <f t="shared" si="137"/>
        <v>6.1393163205964107</v>
      </c>
      <c r="Q168" s="386">
        <f t="shared" si="138"/>
        <v>12.130166270103711</v>
      </c>
      <c r="R168" s="386">
        <f t="shared" si="116"/>
        <v>0.51315787788480782</v>
      </c>
      <c r="S168" s="386">
        <f t="shared" si="117"/>
        <v>0.91903425585355225</v>
      </c>
      <c r="T168" s="386">
        <f t="shared" si="118"/>
        <v>1.4321921337383601</v>
      </c>
      <c r="U168" s="4">
        <f t="shared" si="139"/>
        <v>1.7722679651683004</v>
      </c>
      <c r="V168" s="386">
        <f t="shared" si="119"/>
        <v>6.2818674807235764E-3</v>
      </c>
      <c r="W168" s="386">
        <f t="shared" si="120"/>
        <v>6.2818674807235764E-3</v>
      </c>
      <c r="X168" s="386">
        <f t="shared" si="140"/>
        <v>5.9583309713987864</v>
      </c>
      <c r="Y168" s="386">
        <f t="shared" si="121"/>
        <v>7.1003415929460023E-2</v>
      </c>
      <c r="Z168" s="603">
        <f t="shared" si="122"/>
        <v>7.1003415929460023E-2</v>
      </c>
      <c r="AA168" s="386">
        <f t="shared" si="141"/>
        <v>7.7348473745481936</v>
      </c>
      <c r="AB168" s="386">
        <f t="shared" si="142"/>
        <v>0.34101882427306401</v>
      </c>
      <c r="AC168" s="386">
        <f t="shared" si="143"/>
        <v>0.30647130681818185</v>
      </c>
      <c r="AD168">
        <f t="shared" si="144"/>
        <v>0</v>
      </c>
      <c r="AE168" s="386">
        <f t="shared" si="145"/>
        <v>0.6948838240264178</v>
      </c>
      <c r="AF168" s="386">
        <f t="shared" si="146"/>
        <v>9.3441462869973684</v>
      </c>
      <c r="AG168" s="386">
        <f t="shared" si="147"/>
        <v>0.49768449804699821</v>
      </c>
      <c r="AH168" s="386">
        <f t="shared" si="148"/>
        <v>0.24</v>
      </c>
      <c r="AI168" s="386">
        <f t="shared" si="149"/>
        <v>0.81922790364980813</v>
      </c>
      <c r="AJ168" s="386">
        <f t="shared" si="150"/>
        <v>0</v>
      </c>
      <c r="AK168" s="386">
        <f t="shared" si="151"/>
        <v>0</v>
      </c>
      <c r="AL168" s="386">
        <f t="shared" si="152"/>
        <v>0</v>
      </c>
      <c r="AM168">
        <f t="shared" si="153"/>
        <v>0</v>
      </c>
      <c r="AN168" s="386">
        <f t="shared" si="154"/>
        <v>0</v>
      </c>
      <c r="AO168" s="386">
        <f t="shared" si="155"/>
        <v>12.130166270103711</v>
      </c>
      <c r="AP168" s="386">
        <f t="shared" si="156"/>
        <v>0.27956777410668737</v>
      </c>
      <c r="AQ168" s="386">
        <f t="shared" si="157"/>
        <v>0</v>
      </c>
      <c r="AR168" s="386">
        <f t="shared" si="158"/>
        <v>0.29612518592381748</v>
      </c>
      <c r="AS168" s="386">
        <f t="shared" si="159"/>
        <v>0.27956777410668737</v>
      </c>
      <c r="AT168" s="386">
        <f t="shared" si="160"/>
        <v>0</v>
      </c>
      <c r="AU168" s="386">
        <f t="shared" si="161"/>
        <v>0.46906020000000004</v>
      </c>
      <c r="AV168" s="386">
        <f t="shared" si="162"/>
        <v>0.34925227933122682</v>
      </c>
      <c r="AW168" s="386">
        <f t="shared" si="163"/>
        <v>0.59328000000000003</v>
      </c>
      <c r="AX168" s="386">
        <f t="shared" si="164"/>
        <v>3.6000000000000004E-2</v>
      </c>
      <c r="AY168" s="386">
        <f t="shared" si="165"/>
        <v>6.6000000000000003E-2</v>
      </c>
      <c r="AZ168" s="386">
        <f t="shared" si="166"/>
        <v>4.3499999999999997E-2</v>
      </c>
      <c r="BA168" s="386">
        <f t="shared" si="123"/>
        <v>0.10200000000000001</v>
      </c>
      <c r="BB168" s="386">
        <f t="shared" si="124"/>
        <v>4.8333068100798133</v>
      </c>
      <c r="BC168">
        <f t="shared" si="167"/>
        <v>144</v>
      </c>
      <c r="BD168" s="604">
        <f t="shared" si="125"/>
        <v>0.96752536838916436</v>
      </c>
      <c r="BE168" s="614">
        <f t="shared" si="168"/>
        <v>58.197201201320894</v>
      </c>
      <c r="BF168" s="614">
        <f t="shared" si="169"/>
        <v>40.961395182490406</v>
      </c>
      <c r="BG168" s="9"/>
      <c r="BH168" s="4">
        <f t="shared" si="126"/>
        <v>96.752536838916441</v>
      </c>
      <c r="BI168" s="386">
        <f t="shared" si="127"/>
        <v>1.4321921337383601</v>
      </c>
      <c r="BJ168" s="386">
        <f t="shared" si="128"/>
        <v>2.2792971136000433</v>
      </c>
      <c r="BK168" s="386">
        <f t="shared" si="129"/>
        <v>0.97401776964980813</v>
      </c>
      <c r="BL168" s="386">
        <f t="shared" si="130"/>
        <v>0.34925227933122682</v>
      </c>
    </row>
    <row r="169" spans="7:64" x14ac:dyDescent="0.2">
      <c r="G169">
        <v>160</v>
      </c>
      <c r="H169" s="610">
        <f t="shared" si="131"/>
        <v>30</v>
      </c>
      <c r="I169" s="4" t="str">
        <f t="shared" si="132"/>
        <v>BUCK</v>
      </c>
      <c r="J169">
        <f t="shared" si="170"/>
        <v>1</v>
      </c>
      <c r="K169">
        <f t="shared" si="133"/>
        <v>12</v>
      </c>
      <c r="L169" s="4">
        <f t="shared" si="134"/>
        <v>5.333333333333333</v>
      </c>
      <c r="M169" s="4">
        <f t="shared" si="135"/>
        <v>12</v>
      </c>
      <c r="N169" s="386">
        <f t="shared" si="136"/>
        <v>0.4045726837060703</v>
      </c>
      <c r="O169" s="386">
        <f t="shared" si="171"/>
        <v>0</v>
      </c>
      <c r="P169" s="4">
        <f t="shared" si="137"/>
        <v>6.1603163517096053</v>
      </c>
      <c r="Q169" s="386">
        <f t="shared" si="138"/>
        <v>12.1310534632994</v>
      </c>
      <c r="R169" s="386">
        <f t="shared" si="116"/>
        <v>0.5132360269199121</v>
      </c>
      <c r="S169" s="386">
        <f t="shared" si="117"/>
        <v>0.92629334166126398</v>
      </c>
      <c r="T169" s="386">
        <f t="shared" si="118"/>
        <v>1.4395293685811761</v>
      </c>
      <c r="U169" s="4">
        <f t="shared" si="139"/>
        <v>1.778330151976397</v>
      </c>
      <c r="V169" s="386">
        <f t="shared" si="119"/>
        <v>6.32491625885679E-3</v>
      </c>
      <c r="W169" s="386">
        <f t="shared" si="120"/>
        <v>6.32491625885679E-3</v>
      </c>
      <c r="X169" s="386">
        <f t="shared" si="140"/>
        <v>5.9540321079004181</v>
      </c>
      <c r="Y169" s="386">
        <f t="shared" si="121"/>
        <v>7.090099668381819E-2</v>
      </c>
      <c r="Z169" s="603">
        <f t="shared" si="122"/>
        <v>7.090099668381819E-2</v>
      </c>
      <c r="AA169" s="386">
        <f t="shared" si="141"/>
        <v>7.7160812998700994</v>
      </c>
      <c r="AB169" s="386">
        <f t="shared" si="142"/>
        <v>0.33936609056936873</v>
      </c>
      <c r="AC169" s="386">
        <f t="shared" si="143"/>
        <v>0.30801136363636361</v>
      </c>
      <c r="AD169">
        <f t="shared" si="144"/>
        <v>0</v>
      </c>
      <c r="AE169" s="386">
        <f t="shared" si="145"/>
        <v>0.69451652584832557</v>
      </c>
      <c r="AF169" s="386">
        <f t="shared" si="146"/>
        <v>9.3607984436811442</v>
      </c>
      <c r="AG169" s="386">
        <f t="shared" si="147"/>
        <v>0.49945992076837298</v>
      </c>
      <c r="AH169" s="386">
        <f t="shared" si="148"/>
        <v>0.24</v>
      </c>
      <c r="AI169" s="386">
        <f t="shared" si="149"/>
        <v>0.82152353689806523</v>
      </c>
      <c r="AJ169" s="386">
        <f t="shared" si="150"/>
        <v>0</v>
      </c>
      <c r="AK169" s="386">
        <f t="shared" si="151"/>
        <v>0</v>
      </c>
      <c r="AL169" s="386">
        <f t="shared" si="152"/>
        <v>0</v>
      </c>
      <c r="AM169">
        <f t="shared" si="153"/>
        <v>0</v>
      </c>
      <c r="AN169" s="386">
        <f t="shared" si="154"/>
        <v>0</v>
      </c>
      <c r="AO169" s="386">
        <f t="shared" si="155"/>
        <v>12.1310534632994</v>
      </c>
      <c r="AP169" s="386">
        <f t="shared" si="156"/>
        <v>0.27960867044591392</v>
      </c>
      <c r="AQ169" s="386">
        <f t="shared" si="157"/>
        <v>0</v>
      </c>
      <c r="AR169" s="386">
        <f t="shared" si="158"/>
        <v>0.29617107028319967</v>
      </c>
      <c r="AS169" s="386">
        <f t="shared" si="159"/>
        <v>0.27960867044591392</v>
      </c>
      <c r="AT169" s="386">
        <f t="shared" si="160"/>
        <v>0</v>
      </c>
      <c r="AU169" s="386">
        <f t="shared" si="161"/>
        <v>0.47142269999999997</v>
      </c>
      <c r="AV169" s="386">
        <f t="shared" si="162"/>
        <v>0.35049819001289328</v>
      </c>
      <c r="AW169" s="386">
        <f t="shared" si="163"/>
        <v>0.59328000000000003</v>
      </c>
      <c r="AX169" s="386">
        <f t="shared" si="164"/>
        <v>3.6000000000000004E-2</v>
      </c>
      <c r="AY169" s="386">
        <f t="shared" si="165"/>
        <v>6.6000000000000003E-2</v>
      </c>
      <c r="AZ169" s="386">
        <f t="shared" si="166"/>
        <v>4.3499999999999997E-2</v>
      </c>
      <c r="BA169" s="386">
        <f t="shared" si="123"/>
        <v>0.10200000000000001</v>
      </c>
      <c r="BB169" s="386">
        <f t="shared" si="124"/>
        <v>4.8461673045663343</v>
      </c>
      <c r="BC169">
        <f t="shared" si="167"/>
        <v>144</v>
      </c>
      <c r="BD169" s="604">
        <f t="shared" si="125"/>
        <v>0.96744177299069989</v>
      </c>
      <c r="BE169" s="614">
        <f t="shared" si="168"/>
        <v>58.296961292416285</v>
      </c>
      <c r="BF169" s="614">
        <f t="shared" si="169"/>
        <v>41.076176844903259</v>
      </c>
      <c r="BG169" s="9"/>
      <c r="BH169" s="4">
        <f t="shared" si="126"/>
        <v>96.744177299069989</v>
      </c>
      <c r="BI169" s="386">
        <f t="shared" si="127"/>
        <v>1.4395293685811761</v>
      </c>
      <c r="BJ169" s="386">
        <f t="shared" si="128"/>
        <v>2.2836338330295902</v>
      </c>
      <c r="BK169" s="386">
        <f t="shared" si="129"/>
        <v>0.97709302789806518</v>
      </c>
      <c r="BL169" s="386">
        <f t="shared" si="130"/>
        <v>0.35049819001289328</v>
      </c>
    </row>
    <row r="170" spans="7:64" x14ac:dyDescent="0.2">
      <c r="G170">
        <v>161</v>
      </c>
      <c r="H170" s="610">
        <f t="shared" si="131"/>
        <v>30.150000000000002</v>
      </c>
      <c r="I170" s="4" t="str">
        <f t="shared" si="132"/>
        <v>BUCK</v>
      </c>
      <c r="J170">
        <f t="shared" si="170"/>
        <v>1</v>
      </c>
      <c r="K170">
        <f t="shared" si="133"/>
        <v>12</v>
      </c>
      <c r="L170" s="4">
        <f t="shared" si="134"/>
        <v>5.3067993366500827</v>
      </c>
      <c r="M170" s="4">
        <f t="shared" si="135"/>
        <v>12</v>
      </c>
      <c r="N170" s="386">
        <f t="shared" si="136"/>
        <v>0.40256308364792365</v>
      </c>
      <c r="O170" s="386">
        <f t="shared" ref="O170:O201" si="172">CHOOSE(J170,0,(Vout+(Rdson3+Rdcr)*L170-H170)/(Vout+(Rdson3-Rdson4-Rs)*L170),IF(H170&gt;Vout,D_min_boost_exitBB_to_buck, (Vout-H170*D_max_buck_BB)/Vout))</f>
        <v>0</v>
      </c>
      <c r="P170" s="4">
        <f t="shared" si="137"/>
        <v>6.1811077594260855</v>
      </c>
      <c r="Q170" s="386">
        <f t="shared" si="138"/>
        <v>12.131934763032225</v>
      </c>
      <c r="R170" s="386">
        <f t="shared" si="116"/>
        <v>0.51331366341335061</v>
      </c>
      <c r="S170" s="386">
        <f t="shared" si="117"/>
        <v>0.93351217230889194</v>
      </c>
      <c r="T170" s="386">
        <f t="shared" si="118"/>
        <v>1.4468258357222425</v>
      </c>
      <c r="U170" s="4">
        <f t="shared" si="139"/>
        <v>1.7843321143973676</v>
      </c>
      <c r="V170" s="386">
        <f t="shared" si="119"/>
        <v>6.3676821889395614E-3</v>
      </c>
      <c r="W170" s="386">
        <f t="shared" si="120"/>
        <v>6.3676821889395614E-3</v>
      </c>
      <c r="X170" s="386">
        <f t="shared" si="140"/>
        <v>5.9496725836589066</v>
      </c>
      <c r="Y170" s="386">
        <f t="shared" si="121"/>
        <v>7.0797207705484894E-2</v>
      </c>
      <c r="Z170" s="603">
        <f t="shared" si="122"/>
        <v>7.0797207705484894E-2</v>
      </c>
      <c r="AA170" s="386">
        <f t="shared" si="141"/>
        <v>7.6974528861264062</v>
      </c>
      <c r="AB170" s="386">
        <f t="shared" si="142"/>
        <v>0.33772945132457372</v>
      </c>
      <c r="AC170" s="386">
        <f t="shared" si="143"/>
        <v>0.30955142045454542</v>
      </c>
      <c r="AD170">
        <f t="shared" si="144"/>
        <v>0</v>
      </c>
      <c r="AE170" s="386">
        <f t="shared" si="145"/>
        <v>0.69416914464886093</v>
      </c>
      <c r="AF170" s="386">
        <f t="shared" si="146"/>
        <v>9.3772629354377184</v>
      </c>
      <c r="AG170" s="386">
        <f t="shared" si="147"/>
        <v>0.50121844291390383</v>
      </c>
      <c r="AH170" s="386">
        <f t="shared" si="148"/>
        <v>0.24</v>
      </c>
      <c r="AI170" s="386">
        <f t="shared" si="149"/>
        <v>0.82379910372220666</v>
      </c>
      <c r="AJ170" s="386">
        <f t="shared" si="150"/>
        <v>0</v>
      </c>
      <c r="AK170" s="386">
        <f t="shared" si="151"/>
        <v>0</v>
      </c>
      <c r="AL170" s="386">
        <f t="shared" si="152"/>
        <v>0</v>
      </c>
      <c r="AM170">
        <f t="shared" si="153"/>
        <v>0</v>
      </c>
      <c r="AN170" s="386">
        <f t="shared" si="154"/>
        <v>0</v>
      </c>
      <c r="AO170" s="386">
        <f t="shared" si="155"/>
        <v>12.131934763032225</v>
      </c>
      <c r="AP170" s="386">
        <f t="shared" si="156"/>
        <v>0.27964929807949257</v>
      </c>
      <c r="AQ170" s="386">
        <f t="shared" si="157"/>
        <v>0</v>
      </c>
      <c r="AR170" s="386">
        <f t="shared" si="158"/>
        <v>0.29621665395085506</v>
      </c>
      <c r="AS170" s="386">
        <f t="shared" si="159"/>
        <v>0.27964929807949257</v>
      </c>
      <c r="AT170" s="386">
        <f t="shared" si="160"/>
        <v>0</v>
      </c>
      <c r="AU170" s="386">
        <f t="shared" si="161"/>
        <v>0.47378520000000002</v>
      </c>
      <c r="AV170" s="386">
        <f t="shared" si="162"/>
        <v>0.35173224064133601</v>
      </c>
      <c r="AW170" s="386">
        <f t="shared" si="163"/>
        <v>0.59328000000000003</v>
      </c>
      <c r="AX170" s="386">
        <f t="shared" si="164"/>
        <v>3.6000000000000004E-2</v>
      </c>
      <c r="AY170" s="386">
        <f t="shared" si="165"/>
        <v>6.6000000000000003E-2</v>
      </c>
      <c r="AZ170" s="386">
        <f t="shared" si="166"/>
        <v>4.3499999999999997E-2</v>
      </c>
      <c r="BA170" s="386">
        <f t="shared" si="123"/>
        <v>0.10200000000000001</v>
      </c>
      <c r="BB170" s="386">
        <f t="shared" si="124"/>
        <v>4.8589730685799255</v>
      </c>
      <c r="BC170">
        <f t="shared" si="167"/>
        <v>144</v>
      </c>
      <c r="BD170" s="604">
        <f t="shared" si="125"/>
        <v>0.96735854770178098</v>
      </c>
      <c r="BE170" s="614">
        <f t="shared" si="168"/>
        <v>58.39771723244305</v>
      </c>
      <c r="BF170" s="614">
        <f t="shared" si="169"/>
        <v>41.189955186110332</v>
      </c>
      <c r="BG170" s="9"/>
      <c r="BH170" s="4">
        <f t="shared" si="126"/>
        <v>96.735854770178094</v>
      </c>
      <c r="BI170" s="386">
        <f t="shared" si="127"/>
        <v>1.4468258357222425</v>
      </c>
      <c r="BJ170" s="386">
        <f t="shared" si="128"/>
        <v>2.2879701023219225</v>
      </c>
      <c r="BK170" s="386">
        <f t="shared" si="129"/>
        <v>0.98014821972220667</v>
      </c>
      <c r="BL170" s="386">
        <f t="shared" si="130"/>
        <v>0.35173224064133601</v>
      </c>
    </row>
    <row r="171" spans="7:64" x14ac:dyDescent="0.2">
      <c r="G171">
        <v>162</v>
      </c>
      <c r="H171" s="610">
        <f t="shared" si="131"/>
        <v>30.3</v>
      </c>
      <c r="I171" s="4" t="str">
        <f t="shared" si="132"/>
        <v>BUCK</v>
      </c>
      <c r="J171">
        <f t="shared" si="170"/>
        <v>1</v>
      </c>
      <c r="K171">
        <f t="shared" si="133"/>
        <v>12</v>
      </c>
      <c r="L171" s="4">
        <f t="shared" si="134"/>
        <v>5.2805280528052805</v>
      </c>
      <c r="M171" s="4">
        <f t="shared" si="135"/>
        <v>12</v>
      </c>
      <c r="N171" s="386">
        <f t="shared" si="136"/>
        <v>0.40057334914986159</v>
      </c>
      <c r="O171" s="386">
        <f t="shared" si="172"/>
        <v>0</v>
      </c>
      <c r="P171" s="4">
        <f t="shared" si="137"/>
        <v>6.2016936372125899</v>
      </c>
      <c r="Q171" s="386">
        <f t="shared" si="138"/>
        <v>12.132810212978425</v>
      </c>
      <c r="R171" s="386">
        <f t="shared" si="116"/>
        <v>0.51339079108167507</v>
      </c>
      <c r="S171" s="386">
        <f t="shared" si="117"/>
        <v>0.94069090662798138</v>
      </c>
      <c r="T171" s="386">
        <f t="shared" si="118"/>
        <v>1.4540816977096565</v>
      </c>
      <c r="U171" s="4">
        <f t="shared" si="139"/>
        <v>1.7902747454381391</v>
      </c>
      <c r="V171" s="386">
        <f t="shared" si="119"/>
        <v>6.4101673283071883E-3</v>
      </c>
      <c r="W171" s="386">
        <f t="shared" si="120"/>
        <v>6.4101673283071883E-3</v>
      </c>
      <c r="X171" s="386">
        <f t="shared" si="140"/>
        <v>5.9452545505382099</v>
      </c>
      <c r="Y171" s="386">
        <f t="shared" si="121"/>
        <v>7.0692103341390589E-2</v>
      </c>
      <c r="Z171" s="603">
        <f t="shared" si="122"/>
        <v>7.0692103341390589E-2</v>
      </c>
      <c r="AA171" s="386">
        <f t="shared" si="141"/>
        <v>7.6789604358425736</v>
      </c>
      <c r="AB171" s="386">
        <f t="shared" si="142"/>
        <v>0.33610867023884272</v>
      </c>
      <c r="AC171" s="386">
        <f t="shared" si="143"/>
        <v>0.31109147727272723</v>
      </c>
      <c r="AD171">
        <f t="shared" si="144"/>
        <v>0</v>
      </c>
      <c r="AE171" s="386">
        <f t="shared" si="145"/>
        <v>0.69384136738099533</v>
      </c>
      <c r="AF171" s="386">
        <f t="shared" si="146"/>
        <v>9.3935430104363711</v>
      </c>
      <c r="AG171" s="386">
        <f t="shared" si="147"/>
        <v>0.50296030664683256</v>
      </c>
      <c r="AH171" s="386">
        <f t="shared" si="148"/>
        <v>0.24</v>
      </c>
      <c r="AI171" s="386">
        <f t="shared" si="149"/>
        <v>0.82605486865610966</v>
      </c>
      <c r="AJ171" s="386">
        <f t="shared" si="150"/>
        <v>0</v>
      </c>
      <c r="AK171" s="386">
        <f t="shared" si="151"/>
        <v>0</v>
      </c>
      <c r="AL171" s="386">
        <f t="shared" si="152"/>
        <v>0</v>
      </c>
      <c r="AM171">
        <f t="shared" si="153"/>
        <v>0</v>
      </c>
      <c r="AN171" s="386">
        <f t="shared" si="154"/>
        <v>0</v>
      </c>
      <c r="AO171" s="386">
        <f t="shared" si="155"/>
        <v>12.132810212978425</v>
      </c>
      <c r="AP171" s="386">
        <f t="shared" si="156"/>
        <v>0.2796896589618918</v>
      </c>
      <c r="AQ171" s="386">
        <f t="shared" si="157"/>
        <v>0</v>
      </c>
      <c r="AR171" s="386">
        <f t="shared" si="158"/>
        <v>0.29626193910417914</v>
      </c>
      <c r="AS171" s="386">
        <f t="shared" si="159"/>
        <v>0.2796896589618918</v>
      </c>
      <c r="AT171" s="386">
        <f t="shared" si="160"/>
        <v>0</v>
      </c>
      <c r="AU171" s="386">
        <f t="shared" si="161"/>
        <v>0.47614770000000001</v>
      </c>
      <c r="AV171" s="386">
        <f t="shared" si="162"/>
        <v>0.35295460115567201</v>
      </c>
      <c r="AW171" s="386">
        <f t="shared" si="163"/>
        <v>0.59328000000000003</v>
      </c>
      <c r="AX171" s="386">
        <f t="shared" si="164"/>
        <v>3.6000000000000004E-2</v>
      </c>
      <c r="AY171" s="386">
        <f t="shared" si="165"/>
        <v>6.6000000000000003E-2</v>
      </c>
      <c r="AZ171" s="386">
        <f t="shared" si="166"/>
        <v>4.3499999999999997E-2</v>
      </c>
      <c r="BA171" s="386">
        <f t="shared" si="123"/>
        <v>0.10200000000000001</v>
      </c>
      <c r="BB171" s="386">
        <f t="shared" si="124"/>
        <v>4.8717244446763104</v>
      </c>
      <c r="BC171">
        <f t="shared" si="167"/>
        <v>144</v>
      </c>
      <c r="BD171" s="604">
        <f t="shared" si="125"/>
        <v>0.96727569010939518</v>
      </c>
      <c r="BE171" s="614">
        <f t="shared" si="168"/>
        <v>58.499453369049768</v>
      </c>
      <c r="BF171" s="614">
        <f t="shared" si="169"/>
        <v>41.302743432805485</v>
      </c>
      <c r="BG171" s="9"/>
      <c r="BH171" s="4">
        <f t="shared" si="126"/>
        <v>96.727569010939519</v>
      </c>
      <c r="BI171" s="386">
        <f t="shared" si="127"/>
        <v>1.4540816977096565</v>
      </c>
      <c r="BJ171" s="386">
        <f t="shared" si="128"/>
        <v>2.2923058751412841</v>
      </c>
      <c r="BK171" s="386">
        <f t="shared" si="129"/>
        <v>0.98318360965610974</v>
      </c>
      <c r="BL171" s="386">
        <f t="shared" si="130"/>
        <v>0.35295460115567201</v>
      </c>
    </row>
    <row r="172" spans="7:64" x14ac:dyDescent="0.2">
      <c r="G172">
        <v>163</v>
      </c>
      <c r="H172" s="610">
        <f t="shared" si="131"/>
        <v>30.45</v>
      </c>
      <c r="I172" s="4" t="str">
        <f t="shared" si="132"/>
        <v>BUCK</v>
      </c>
      <c r="J172">
        <f t="shared" si="170"/>
        <v>1</v>
      </c>
      <c r="K172">
        <f t="shared" si="133"/>
        <v>12</v>
      </c>
      <c r="L172" s="4">
        <f t="shared" si="134"/>
        <v>5.2545155993431854</v>
      </c>
      <c r="M172" s="4">
        <f t="shared" si="135"/>
        <v>12</v>
      </c>
      <c r="N172" s="386">
        <f t="shared" si="136"/>
        <v>0.3986031870942357</v>
      </c>
      <c r="O172" s="386">
        <f t="shared" si="172"/>
        <v>0</v>
      </c>
      <c r="P172" s="4">
        <f t="shared" si="137"/>
        <v>6.2220770176767779</v>
      </c>
      <c r="Q172" s="386">
        <f t="shared" si="138"/>
        <v>12.133679856821059</v>
      </c>
      <c r="R172" s="386">
        <f t="shared" si="116"/>
        <v>0.5134674136441949</v>
      </c>
      <c r="S172" s="386">
        <f t="shared" si="117"/>
        <v>0.94782970820543677</v>
      </c>
      <c r="T172" s="386">
        <f t="shared" si="118"/>
        <v>1.4612971218496318</v>
      </c>
      <c r="U172" s="4">
        <f t="shared" si="139"/>
        <v>1.796158920537136</v>
      </c>
      <c r="V172" s="386">
        <f t="shared" si="119"/>
        <v>6.4523737356502594E-3</v>
      </c>
      <c r="W172" s="386">
        <f t="shared" si="120"/>
        <v>6.4523737356502594E-3</v>
      </c>
      <c r="X172" s="386">
        <f t="shared" si="140"/>
        <v>5.9407800926903587</v>
      </c>
      <c r="Y172" s="386">
        <f t="shared" si="121"/>
        <v>7.0585736219412124E-2</v>
      </c>
      <c r="Z172" s="603">
        <f t="shared" si="122"/>
        <v>7.0585736219412124E-2</v>
      </c>
      <c r="AA172" s="386">
        <f t="shared" si="141"/>
        <v>7.6606022811034</v>
      </c>
      <c r="AB172" s="386">
        <f t="shared" si="142"/>
        <v>0.3345035156627057</v>
      </c>
      <c r="AC172" s="386">
        <f t="shared" si="143"/>
        <v>0.31263153409090905</v>
      </c>
      <c r="AD172">
        <f t="shared" si="144"/>
        <v>0</v>
      </c>
      <c r="AE172" s="386">
        <f t="shared" si="145"/>
        <v>0.69353288757813358</v>
      </c>
      <c r="AF172" s="386">
        <f t="shared" si="146"/>
        <v>9.4096418400797006</v>
      </c>
      <c r="AG172" s="386">
        <f t="shared" si="147"/>
        <v>0.50468574948389744</v>
      </c>
      <c r="AH172" s="386">
        <f t="shared" si="148"/>
        <v>0.24</v>
      </c>
      <c r="AI172" s="386">
        <f t="shared" si="149"/>
        <v>0.82829109154982972</v>
      </c>
      <c r="AJ172" s="386">
        <f t="shared" si="150"/>
        <v>0</v>
      </c>
      <c r="AK172" s="386">
        <f t="shared" si="151"/>
        <v>0</v>
      </c>
      <c r="AL172" s="386">
        <f t="shared" si="152"/>
        <v>0</v>
      </c>
      <c r="AM172">
        <f t="shared" si="153"/>
        <v>0</v>
      </c>
      <c r="AN172" s="386">
        <f t="shared" si="154"/>
        <v>0</v>
      </c>
      <c r="AO172" s="386">
        <f t="shared" si="155"/>
        <v>12.133679856821059</v>
      </c>
      <c r="AP172" s="386">
        <f t="shared" si="156"/>
        <v>0.27972975504886777</v>
      </c>
      <c r="AQ172" s="386">
        <f t="shared" si="157"/>
        <v>0</v>
      </c>
      <c r="AR172" s="386">
        <f t="shared" si="158"/>
        <v>0.29630692792226321</v>
      </c>
      <c r="AS172" s="386">
        <f t="shared" si="159"/>
        <v>0.27972975504886777</v>
      </c>
      <c r="AT172" s="386">
        <f t="shared" si="160"/>
        <v>0</v>
      </c>
      <c r="AU172" s="386">
        <f t="shared" si="161"/>
        <v>0.4785102</v>
      </c>
      <c r="AV172" s="386">
        <f t="shared" si="162"/>
        <v>0.35416543823431396</v>
      </c>
      <c r="AW172" s="386">
        <f t="shared" si="163"/>
        <v>0.59328000000000003</v>
      </c>
      <c r="AX172" s="386">
        <f t="shared" si="164"/>
        <v>3.6000000000000004E-2</v>
      </c>
      <c r="AY172" s="386">
        <f t="shared" si="165"/>
        <v>6.6000000000000003E-2</v>
      </c>
      <c r="AZ172" s="386">
        <f t="shared" si="166"/>
        <v>4.3499999999999997E-2</v>
      </c>
      <c r="BA172" s="386">
        <f t="shared" si="123"/>
        <v>0.10200000000000001</v>
      </c>
      <c r="BB172" s="386">
        <f t="shared" si="124"/>
        <v>4.8844217770892344</v>
      </c>
      <c r="BC172">
        <f t="shared" si="167"/>
        <v>144</v>
      </c>
      <c r="BD172" s="604">
        <f t="shared" si="125"/>
        <v>0.96719319779202806</v>
      </c>
      <c r="BE172" s="614">
        <f t="shared" si="168"/>
        <v>58.602154378906675</v>
      </c>
      <c r="BF172" s="614">
        <f t="shared" si="169"/>
        <v>41.414554577491486</v>
      </c>
      <c r="BG172" s="9"/>
      <c r="BH172" s="4">
        <f t="shared" si="126"/>
        <v>96.719319779202806</v>
      </c>
      <c r="BI172" s="386">
        <f t="shared" si="127"/>
        <v>1.4612971218496318</v>
      </c>
      <c r="BJ172" s="386">
        <f t="shared" si="128"/>
        <v>2.2966411070502266</v>
      </c>
      <c r="BK172" s="386">
        <f t="shared" si="129"/>
        <v>0.98619945754982974</v>
      </c>
      <c r="BL172" s="386">
        <f t="shared" si="130"/>
        <v>0.35416543823431396</v>
      </c>
    </row>
    <row r="173" spans="7:64" x14ac:dyDescent="0.2">
      <c r="G173">
        <v>164</v>
      </c>
      <c r="H173" s="610">
        <f t="shared" si="131"/>
        <v>30.599999999999998</v>
      </c>
      <c r="I173" s="4" t="str">
        <f t="shared" si="132"/>
        <v>BUCK</v>
      </c>
      <c r="J173">
        <f t="shared" si="170"/>
        <v>1</v>
      </c>
      <c r="K173">
        <f t="shared" si="133"/>
        <v>12</v>
      </c>
      <c r="L173" s="4">
        <f t="shared" si="134"/>
        <v>5.2287581699346406</v>
      </c>
      <c r="M173" s="4">
        <f t="shared" si="135"/>
        <v>12</v>
      </c>
      <c r="N173" s="386">
        <f t="shared" si="136"/>
        <v>0.39665231010180113</v>
      </c>
      <c r="O173" s="386">
        <f t="shared" si="172"/>
        <v>0</v>
      </c>
      <c r="P173" s="4">
        <f t="shared" si="137"/>
        <v>6.2422608740565479</v>
      </c>
      <c r="Q173" s="386">
        <f t="shared" si="138"/>
        <v>12.134543738228539</v>
      </c>
      <c r="R173" s="386">
        <f t="shared" si="116"/>
        <v>0.51354353482106452</v>
      </c>
      <c r="S173" s="386">
        <f t="shared" si="117"/>
        <v>0.95492874509425807</v>
      </c>
      <c r="T173" s="386">
        <f t="shared" si="118"/>
        <v>1.4684722799153227</v>
      </c>
      <c r="U173" s="4">
        <f t="shared" si="139"/>
        <v>1.8019854979942085</v>
      </c>
      <c r="V173" s="386">
        <f t="shared" si="119"/>
        <v>6.4943034699628706E-3</v>
      </c>
      <c r="W173" s="386">
        <f t="shared" si="120"/>
        <v>6.4943034699628706E-3</v>
      </c>
      <c r="X173" s="386">
        <f t="shared" si="140"/>
        <v>5.9362512289334299</v>
      </c>
      <c r="Y173" s="386">
        <f t="shared" si="121"/>
        <v>7.0478157306027314E-2</v>
      </c>
      <c r="Z173" s="603">
        <f t="shared" si="122"/>
        <v>7.0478157306027314E-2</v>
      </c>
      <c r="AA173" s="386">
        <f t="shared" si="141"/>
        <v>7.6423767828857283</v>
      </c>
      <c r="AB173" s="386">
        <f t="shared" si="142"/>
        <v>0.33291376048206767</v>
      </c>
      <c r="AC173" s="386">
        <f t="shared" si="143"/>
        <v>0.31417159090909086</v>
      </c>
      <c r="AD173">
        <f t="shared" si="144"/>
        <v>0</v>
      </c>
      <c r="AE173" s="386">
        <f t="shared" si="145"/>
        <v>0.6932434051807842</v>
      </c>
      <c r="AF173" s="386">
        <f t="shared" si="146"/>
        <v>9.4255625213241565</v>
      </c>
      <c r="AG173" s="386">
        <f t="shared" si="147"/>
        <v>0.50639500440732643</v>
      </c>
      <c r="AH173" s="386">
        <f t="shared" si="148"/>
        <v>0.24</v>
      </c>
      <c r="AI173" s="386">
        <f t="shared" si="149"/>
        <v>0.83050802767420628</v>
      </c>
      <c r="AJ173" s="386">
        <f t="shared" si="150"/>
        <v>0</v>
      </c>
      <c r="AK173" s="386">
        <f t="shared" si="151"/>
        <v>0</v>
      </c>
      <c r="AL173" s="386">
        <f t="shared" si="152"/>
        <v>0</v>
      </c>
      <c r="AM173">
        <f t="shared" si="153"/>
        <v>0</v>
      </c>
      <c r="AN173" s="386">
        <f t="shared" si="154"/>
        <v>0</v>
      </c>
      <c r="AO173" s="386">
        <f t="shared" si="155"/>
        <v>12.134543738228539</v>
      </c>
      <c r="AP173" s="386">
        <f t="shared" si="156"/>
        <v>0.2797695882964647</v>
      </c>
      <c r="AQ173" s="386">
        <f t="shared" si="157"/>
        <v>0</v>
      </c>
      <c r="AR173" s="386">
        <f t="shared" si="158"/>
        <v>0.29635162258477082</v>
      </c>
      <c r="AS173" s="386">
        <f t="shared" si="159"/>
        <v>0.2797695882964647</v>
      </c>
      <c r="AT173" s="386">
        <f t="shared" si="160"/>
        <v>0</v>
      </c>
      <c r="AU173" s="386">
        <f t="shared" si="161"/>
        <v>0.48087269999999999</v>
      </c>
      <c r="AV173" s="386">
        <f t="shared" si="162"/>
        <v>0.35536491537356241</v>
      </c>
      <c r="AW173" s="386">
        <f t="shared" si="163"/>
        <v>0.59328000000000003</v>
      </c>
      <c r="AX173" s="386">
        <f t="shared" si="164"/>
        <v>3.6000000000000004E-2</v>
      </c>
      <c r="AY173" s="386">
        <f t="shared" si="165"/>
        <v>6.6000000000000003E-2</v>
      </c>
      <c r="AZ173" s="386">
        <f t="shared" si="166"/>
        <v>4.3499999999999997E-2</v>
      </c>
      <c r="BA173" s="386">
        <f t="shared" si="123"/>
        <v>0.10200000000000001</v>
      </c>
      <c r="BB173" s="386">
        <f t="shared" si="124"/>
        <v>4.8970654115046361</v>
      </c>
      <c r="BC173">
        <f t="shared" si="167"/>
        <v>144</v>
      </c>
      <c r="BD173" s="604">
        <f t="shared" si="125"/>
        <v>0.96711106832112048</v>
      </c>
      <c r="BE173" s="614">
        <f t="shared" si="168"/>
        <v>58.705805259039209</v>
      </c>
      <c r="BF173" s="614">
        <f t="shared" si="169"/>
        <v>41.525401383710317</v>
      </c>
      <c r="BG173" s="9"/>
      <c r="BH173" s="4">
        <f t="shared" si="126"/>
        <v>96.711106832112051</v>
      </c>
      <c r="BI173" s="386">
        <f t="shared" si="127"/>
        <v>1.4684722799153227</v>
      </c>
      <c r="BJ173" s="386">
        <f t="shared" si="128"/>
        <v>2.3009757554397612</v>
      </c>
      <c r="BK173" s="386">
        <f t="shared" si="129"/>
        <v>0.98919601867420626</v>
      </c>
      <c r="BL173" s="386">
        <f t="shared" si="130"/>
        <v>0.35536491537356241</v>
      </c>
    </row>
    <row r="174" spans="7:64" x14ac:dyDescent="0.2">
      <c r="G174">
        <v>165</v>
      </c>
      <c r="H174" s="610">
        <f t="shared" si="131"/>
        <v>30.75</v>
      </c>
      <c r="I174" s="4" t="str">
        <f t="shared" si="132"/>
        <v>BUCK</v>
      </c>
      <c r="J174">
        <f t="shared" si="170"/>
        <v>1</v>
      </c>
      <c r="K174">
        <f t="shared" si="133"/>
        <v>12</v>
      </c>
      <c r="L174" s="4">
        <f t="shared" si="134"/>
        <v>5.2032520325203251</v>
      </c>
      <c r="M174" s="4">
        <f t="shared" si="135"/>
        <v>12</v>
      </c>
      <c r="N174" s="386">
        <f t="shared" si="136"/>
        <v>0.39472043639197352</v>
      </c>
      <c r="O174" s="386">
        <f t="shared" si="172"/>
        <v>0</v>
      </c>
      <c r="P174" s="4">
        <f t="shared" si="137"/>
        <v>6.2622481216658175</v>
      </c>
      <c r="Q174" s="386">
        <f t="shared" si="138"/>
        <v>12.135401900834417</v>
      </c>
      <c r="R174" s="386">
        <f t="shared" ref="R174:R209" si="173">(Q174^2*Rdcr*(1+Ltc*Ta-Ltc*25))/(1-Q174^2*Rdcr*Ltc*ThetaCa)</f>
        <v>0.51361915833148042</v>
      </c>
      <c r="S174" s="386">
        <f t="shared" ref="S174:S209" si="174">7.759*10^-3*Fsw^0.9458*(0.00787*P174)^2.304</f>
        <v>0.96198818953712939</v>
      </c>
      <c r="T174" s="386">
        <f t="shared" ref="T174:T209" si="175">R174+S174</f>
        <v>1.4756073478686098</v>
      </c>
      <c r="U174" s="4">
        <f t="shared" si="139"/>
        <v>1.8077553193879941</v>
      </c>
      <c r="V174" s="386">
        <f t="shared" ref="V174:V209" si="176">RCoutEsr*U174^2</f>
        <v>6.5359585895511767E-3</v>
      </c>
      <c r="W174" s="386">
        <f t="shared" ref="W174:W209" si="177">V174</f>
        <v>6.5359585895511767E-3</v>
      </c>
      <c r="X174" s="386">
        <f t="shared" si="140"/>
        <v>5.9316699150337566</v>
      </c>
      <c r="Y174" s="386">
        <f t="shared" ref="Y174:Y209" si="178">RCinEsr*X174^2</f>
        <v>7.0369415961833146E-2</v>
      </c>
      <c r="Z174" s="603">
        <f t="shared" ref="Z174:Z209" si="179">Y174</f>
        <v>7.0369415961833146E-2</v>
      </c>
      <c r="AA174" s="386">
        <f t="shared" si="141"/>
        <v>7.6242823304097245</v>
      </c>
      <c r="AB174" s="386">
        <f t="shared" si="142"/>
        <v>0.33133918200664825</v>
      </c>
      <c r="AC174" s="386">
        <f t="shared" si="143"/>
        <v>0.31571164772727273</v>
      </c>
      <c r="AD174">
        <f t="shared" si="144"/>
        <v>0</v>
      </c>
      <c r="AE174" s="386">
        <f t="shared" si="145"/>
        <v>0.69297262636872325</v>
      </c>
      <c r="AF174" s="386">
        <f t="shared" si="146"/>
        <v>9.4413080789145774</v>
      </c>
      <c r="AG174" s="386">
        <f t="shared" si="147"/>
        <v>0.50808829997357274</v>
      </c>
      <c r="AH174" s="386">
        <f t="shared" si="148"/>
        <v>0.24</v>
      </c>
      <c r="AI174" s="386">
        <f t="shared" si="149"/>
        <v>0.83270592782263675</v>
      </c>
      <c r="AJ174" s="386">
        <f t="shared" si="150"/>
        <v>0</v>
      </c>
      <c r="AK174" s="386">
        <f t="shared" si="151"/>
        <v>0</v>
      </c>
      <c r="AL174" s="386">
        <f t="shared" si="152"/>
        <v>0</v>
      </c>
      <c r="AM174">
        <f t="shared" si="153"/>
        <v>0</v>
      </c>
      <c r="AN174" s="386">
        <f t="shared" si="154"/>
        <v>0</v>
      </c>
      <c r="AO174" s="386">
        <f t="shared" si="155"/>
        <v>12.135401900834417</v>
      </c>
      <c r="AP174" s="386">
        <f t="shared" si="156"/>
        <v>0.27980916066007361</v>
      </c>
      <c r="AQ174" s="386">
        <f t="shared" si="157"/>
        <v>0</v>
      </c>
      <c r="AR174" s="386">
        <f t="shared" si="158"/>
        <v>0.29639602527087894</v>
      </c>
      <c r="AS174" s="386">
        <f t="shared" si="159"/>
        <v>0.27980916066007361</v>
      </c>
      <c r="AT174" s="386">
        <f t="shared" si="160"/>
        <v>0</v>
      </c>
      <c r="AU174" s="386">
        <f t="shared" si="161"/>
        <v>0.48323519999999998</v>
      </c>
      <c r="AV174" s="386">
        <f t="shared" si="162"/>
        <v>0.35655319296391064</v>
      </c>
      <c r="AW174" s="386">
        <f t="shared" si="163"/>
        <v>0.59328000000000003</v>
      </c>
      <c r="AX174" s="386">
        <f t="shared" si="164"/>
        <v>3.6000000000000004E-2</v>
      </c>
      <c r="AY174" s="386">
        <f t="shared" si="165"/>
        <v>6.6000000000000003E-2</v>
      </c>
      <c r="AZ174" s="386">
        <f t="shared" si="166"/>
        <v>4.3499999999999997E-2</v>
      </c>
      <c r="BA174" s="386">
        <f t="shared" ref="BA174:BA209" si="180">SUM(AX174:AY174)</f>
        <v>0.10200000000000001</v>
      </c>
      <c r="BB174" s="386">
        <f t="shared" ref="BB174:BB209" si="181">SUM(T174,W174,Z174,AE174,AI174,AN174,AR174, AT174,AU174,BA174,AV174,AW174)</f>
        <v>4.9096556948461441</v>
      </c>
      <c r="BC174">
        <f t="shared" si="167"/>
        <v>144</v>
      </c>
      <c r="BD174" s="604">
        <f t="shared" ref="BD174:BD209" si="182">BC174/(BC174+BB174)</f>
        <v>0.96702929926245151</v>
      </c>
      <c r="BE174" s="614">
        <f t="shared" si="168"/>
        <v>58.81039131843616</v>
      </c>
      <c r="BF174" s="614">
        <f t="shared" si="169"/>
        <v>41.635296391131838</v>
      </c>
      <c r="BG174" s="9"/>
      <c r="BH174" s="4">
        <f t="shared" ref="BH174:BH209" si="183">BD174*100</f>
        <v>96.702929926245147</v>
      </c>
      <c r="BI174" s="386">
        <f t="shared" ref="BI174:BI209" si="184">T174</f>
        <v>1.4756073478686098</v>
      </c>
      <c r="BJ174" s="386">
        <f t="shared" ref="BJ174:BJ209" si="185">AE174+AI174+AN174+AR174+AU174</f>
        <v>2.305309779462239</v>
      </c>
      <c r="BK174" s="386">
        <f t="shared" ref="BK174:BK209" si="186">AI174+AU174*0.33</f>
        <v>0.99217354382263678</v>
      </c>
      <c r="BL174" s="386">
        <f t="shared" ref="BL174:BL209" si="187">AV174</f>
        <v>0.35655319296391064</v>
      </c>
    </row>
    <row r="175" spans="7:64" x14ac:dyDescent="0.2">
      <c r="G175">
        <v>166</v>
      </c>
      <c r="H175" s="610">
        <f t="shared" si="131"/>
        <v>30.9</v>
      </c>
      <c r="I175" s="4" t="str">
        <f t="shared" si="132"/>
        <v>BUCK</v>
      </c>
      <c r="J175">
        <f t="shared" si="170"/>
        <v>1</v>
      </c>
      <c r="K175">
        <f t="shared" si="133"/>
        <v>12</v>
      </c>
      <c r="L175" s="4">
        <f t="shared" si="134"/>
        <v>5.1779935275080913</v>
      </c>
      <c r="M175" s="4">
        <f t="shared" si="135"/>
        <v>12</v>
      </c>
      <c r="N175" s="386">
        <f t="shared" si="136"/>
        <v>0.39280728964715006</v>
      </c>
      <c r="O175" s="386">
        <f t="shared" si="172"/>
        <v>0</v>
      </c>
      <c r="P175" s="4">
        <f t="shared" si="137"/>
        <v>6.2820416192982593</v>
      </c>
      <c r="Q175" s="386">
        <f t="shared" si="138"/>
        <v>12.136254388218369</v>
      </c>
      <c r="R175" s="386">
        <f t="shared" si="173"/>
        <v>0.51369428789198268</v>
      </c>
      <c r="S175" s="386">
        <f t="shared" si="174"/>
        <v>0.96900821770229406</v>
      </c>
      <c r="T175" s="386">
        <f t="shared" si="175"/>
        <v>1.4827025055942769</v>
      </c>
      <c r="U175" s="4">
        <f t="shared" si="139"/>
        <v>1.8134692099811414</v>
      </c>
      <c r="V175" s="386">
        <f t="shared" si="176"/>
        <v>6.5773411510992499E-3</v>
      </c>
      <c r="W175" s="386">
        <f t="shared" si="177"/>
        <v>6.5773411510992499E-3</v>
      </c>
      <c r="X175" s="386">
        <f t="shared" si="140"/>
        <v>5.9270380458968166</v>
      </c>
      <c r="Y175" s="386">
        <f t="shared" si="178"/>
        <v>7.0259559995016707E-2</v>
      </c>
      <c r="Z175" s="603">
        <f t="shared" si="179"/>
        <v>7.0259559995016707E-2</v>
      </c>
      <c r="AA175" s="386">
        <f t="shared" si="141"/>
        <v>7.6063173405080589</v>
      </c>
      <c r="AB175" s="386">
        <f t="shared" si="142"/>
        <v>0.32977956186172747</v>
      </c>
      <c r="AC175" s="386">
        <f t="shared" si="143"/>
        <v>0.31725170454545448</v>
      </c>
      <c r="AD175">
        <f t="shared" si="144"/>
        <v>0</v>
      </c>
      <c r="AE175" s="386">
        <f t="shared" si="145"/>
        <v>0.6927202633984374</v>
      </c>
      <c r="AF175" s="386">
        <f t="shared" si="146"/>
        <v>9.4568814675365385</v>
      </c>
      <c r="AG175" s="386">
        <f t="shared" si="147"/>
        <v>0.50976586041890537</v>
      </c>
      <c r="AH175" s="386">
        <f t="shared" si="148"/>
        <v>0.24</v>
      </c>
      <c r="AI175" s="386">
        <f t="shared" si="149"/>
        <v>0.83488503841010497</v>
      </c>
      <c r="AJ175" s="386">
        <f t="shared" si="150"/>
        <v>0</v>
      </c>
      <c r="AK175" s="386">
        <f t="shared" si="151"/>
        <v>0</v>
      </c>
      <c r="AL175" s="386">
        <f t="shared" si="152"/>
        <v>0</v>
      </c>
      <c r="AM175">
        <f t="shared" si="153"/>
        <v>0</v>
      </c>
      <c r="AN175" s="386">
        <f t="shared" si="154"/>
        <v>0</v>
      </c>
      <c r="AO175" s="386">
        <f t="shared" si="155"/>
        <v>12.136254388218369</v>
      </c>
      <c r="AP175" s="386">
        <f t="shared" si="156"/>
        <v>0.2798484740935443</v>
      </c>
      <c r="AQ175" s="386">
        <f t="shared" si="157"/>
        <v>0</v>
      </c>
      <c r="AR175" s="386">
        <f t="shared" si="158"/>
        <v>0.29644013815827908</v>
      </c>
      <c r="AS175" s="386">
        <f t="shared" si="159"/>
        <v>0.2798484740935443</v>
      </c>
      <c r="AT175" s="386">
        <f t="shared" si="160"/>
        <v>0</v>
      </c>
      <c r="AU175" s="386">
        <f t="shared" si="161"/>
        <v>0.48559769999999997</v>
      </c>
      <c r="AV175" s="386">
        <f t="shared" si="162"/>
        <v>0.35773042836414415</v>
      </c>
      <c r="AW175" s="386">
        <f t="shared" si="163"/>
        <v>0.59328000000000003</v>
      </c>
      <c r="AX175" s="386">
        <f t="shared" si="164"/>
        <v>3.6000000000000004E-2</v>
      </c>
      <c r="AY175" s="386">
        <f t="shared" si="165"/>
        <v>6.6000000000000003E-2</v>
      </c>
      <c r="AZ175" s="386">
        <f t="shared" si="166"/>
        <v>4.3499999999999997E-2</v>
      </c>
      <c r="BA175" s="386">
        <f t="shared" si="180"/>
        <v>0.10200000000000001</v>
      </c>
      <c r="BB175" s="386">
        <f t="shared" si="181"/>
        <v>4.9221929750713587</v>
      </c>
      <c r="BC175">
        <f t="shared" si="167"/>
        <v>144</v>
      </c>
      <c r="BD175" s="604">
        <f t="shared" si="182"/>
        <v>0.96694788817745037</v>
      </c>
      <c r="BE175" s="614">
        <f t="shared" si="168"/>
        <v>58.915898169921867</v>
      </c>
      <c r="BF175" s="614">
        <f t="shared" si="169"/>
        <v>41.744251920505249</v>
      </c>
      <c r="BG175" s="9"/>
      <c r="BH175" s="4">
        <f t="shared" si="183"/>
        <v>96.694788817745035</v>
      </c>
      <c r="BI175" s="386">
        <f t="shared" si="184"/>
        <v>1.4827025055942769</v>
      </c>
      <c r="BJ175" s="386">
        <f t="shared" si="185"/>
        <v>2.3096431399668216</v>
      </c>
      <c r="BK175" s="386">
        <f t="shared" si="186"/>
        <v>0.99513227941010496</v>
      </c>
      <c r="BL175" s="386">
        <f t="shared" si="187"/>
        <v>0.35773042836414415</v>
      </c>
    </row>
    <row r="176" spans="7:64" x14ac:dyDescent="0.2">
      <c r="G176">
        <v>167</v>
      </c>
      <c r="H176" s="610">
        <f t="shared" si="131"/>
        <v>31.049999999999997</v>
      </c>
      <c r="I176" s="4" t="str">
        <f t="shared" si="132"/>
        <v>BUCK</v>
      </c>
      <c r="J176">
        <f t="shared" si="170"/>
        <v>1</v>
      </c>
      <c r="K176">
        <f t="shared" si="133"/>
        <v>12</v>
      </c>
      <c r="L176" s="4">
        <f t="shared" si="134"/>
        <v>5.152979066022545</v>
      </c>
      <c r="M176" s="4">
        <f t="shared" si="135"/>
        <v>12</v>
      </c>
      <c r="N176" s="386">
        <f t="shared" si="136"/>
        <v>0.39091259888095703</v>
      </c>
      <c r="O176" s="386">
        <f t="shared" si="172"/>
        <v>0</v>
      </c>
      <c r="P176" s="4">
        <f t="shared" si="137"/>
        <v>6.301644170590432</v>
      </c>
      <c r="Q176" s="386">
        <f t="shared" si="138"/>
        <v>12.13710124388829</v>
      </c>
      <c r="R176" s="386">
        <f t="shared" si="173"/>
        <v>0.51376892721485468</v>
      </c>
      <c r="S176" s="386">
        <f t="shared" si="174"/>
        <v>0.9759890094312097</v>
      </c>
      <c r="T176" s="386">
        <f t="shared" si="175"/>
        <v>1.4897579366460643</v>
      </c>
      <c r="U176" s="4">
        <f t="shared" si="139"/>
        <v>1.8191279791138111</v>
      </c>
      <c r="V176" s="386">
        <f t="shared" si="176"/>
        <v>6.6184532087893962E-3</v>
      </c>
      <c r="W176" s="386">
        <f t="shared" si="177"/>
        <v>6.6184532087893962E-3</v>
      </c>
      <c r="X176" s="386">
        <f t="shared" si="140"/>
        <v>5.9223574576709392</v>
      </c>
      <c r="Y176" s="386">
        <f t="shared" si="178"/>
        <v>7.0148635712861174E-2</v>
      </c>
      <c r="Z176" s="603">
        <f t="shared" si="179"/>
        <v>7.0148635712861174E-2</v>
      </c>
      <c r="AA176" s="386">
        <f t="shared" si="141"/>
        <v>7.5884802570124501</v>
      </c>
      <c r="AB176" s="386">
        <f t="shared" si="142"/>
        <v>0.32823468588308613</v>
      </c>
      <c r="AC176" s="386">
        <f t="shared" si="143"/>
        <v>0.31879176136363629</v>
      </c>
      <c r="AD176">
        <f t="shared" si="144"/>
        <v>0</v>
      </c>
      <c r="AE176" s="386">
        <f t="shared" si="145"/>
        <v>0.69248603444566148</v>
      </c>
      <c r="AF176" s="386">
        <f t="shared" si="146"/>
        <v>9.4722855738901224</v>
      </c>
      <c r="AG176" s="386">
        <f t="shared" si="147"/>
        <v>0.51142790576196351</v>
      </c>
      <c r="AH176" s="386">
        <f t="shared" si="148"/>
        <v>0.24</v>
      </c>
      <c r="AI176" s="386">
        <f t="shared" si="149"/>
        <v>0.83704560156956009</v>
      </c>
      <c r="AJ176" s="386">
        <f t="shared" si="150"/>
        <v>0</v>
      </c>
      <c r="AK176" s="386">
        <f t="shared" si="151"/>
        <v>0</v>
      </c>
      <c r="AL176" s="386">
        <f t="shared" si="152"/>
        <v>0</v>
      </c>
      <c r="AM176">
        <f t="shared" si="153"/>
        <v>0</v>
      </c>
      <c r="AN176" s="386">
        <f t="shared" si="154"/>
        <v>0</v>
      </c>
      <c r="AO176" s="386">
        <f t="shared" si="155"/>
        <v>12.13710124388829</v>
      </c>
      <c r="AP176" s="386">
        <f t="shared" si="156"/>
        <v>0.27988753054834992</v>
      </c>
      <c r="AQ176" s="386">
        <f t="shared" si="157"/>
        <v>0</v>
      </c>
      <c r="AR176" s="386">
        <f t="shared" si="158"/>
        <v>0.29648396342223737</v>
      </c>
      <c r="AS176" s="386">
        <f t="shared" si="159"/>
        <v>0.27988753054834992</v>
      </c>
      <c r="AT176" s="386">
        <f t="shared" si="160"/>
        <v>0</v>
      </c>
      <c r="AU176" s="386">
        <f t="shared" si="161"/>
        <v>0.48796019999999996</v>
      </c>
      <c r="AV176" s="386">
        <f t="shared" si="162"/>
        <v>0.35889677597330771</v>
      </c>
      <c r="AW176" s="386">
        <f t="shared" si="163"/>
        <v>0.59328000000000003</v>
      </c>
      <c r="AX176" s="386">
        <f t="shared" si="164"/>
        <v>3.6000000000000004E-2</v>
      </c>
      <c r="AY176" s="386">
        <f t="shared" si="165"/>
        <v>6.6000000000000003E-2</v>
      </c>
      <c r="AZ176" s="386">
        <f t="shared" si="166"/>
        <v>4.3499999999999997E-2</v>
      </c>
      <c r="BA176" s="386">
        <f t="shared" si="180"/>
        <v>0.10200000000000001</v>
      </c>
      <c r="BB176" s="386">
        <f t="shared" si="181"/>
        <v>4.934677600978481</v>
      </c>
      <c r="BC176">
        <f t="shared" si="167"/>
        <v>144</v>
      </c>
      <c r="BD176" s="604">
        <f t="shared" si="182"/>
        <v>0.96686683262443862</v>
      </c>
      <c r="BE176" s="614">
        <f t="shared" si="168"/>
        <v>59.022311722283071</v>
      </c>
      <c r="BF176" s="614">
        <f t="shared" si="169"/>
        <v>41.852280078478003</v>
      </c>
      <c r="BG176" s="9"/>
      <c r="BH176" s="4">
        <f t="shared" si="183"/>
        <v>96.686683262443864</v>
      </c>
      <c r="BI176" s="386">
        <f t="shared" si="184"/>
        <v>1.4897579366460643</v>
      </c>
      <c r="BJ176" s="386">
        <f t="shared" si="185"/>
        <v>2.313975799437459</v>
      </c>
      <c r="BK176" s="386">
        <f t="shared" si="186"/>
        <v>0.99807246756956003</v>
      </c>
      <c r="BL176" s="386">
        <f t="shared" si="187"/>
        <v>0.35889677597330771</v>
      </c>
    </row>
    <row r="177" spans="7:64" x14ac:dyDescent="0.2">
      <c r="G177">
        <v>168</v>
      </c>
      <c r="H177" s="610">
        <f t="shared" si="131"/>
        <v>31.2</v>
      </c>
      <c r="I177" s="4" t="str">
        <f t="shared" si="132"/>
        <v>BUCK</v>
      </c>
      <c r="J177">
        <f t="shared" si="170"/>
        <v>1</v>
      </c>
      <c r="K177">
        <f t="shared" si="133"/>
        <v>12</v>
      </c>
      <c r="L177" s="4">
        <f t="shared" si="134"/>
        <v>5.1282051282051286</v>
      </c>
      <c r="M177" s="4">
        <f t="shared" si="135"/>
        <v>12</v>
      </c>
      <c r="N177" s="386">
        <f t="shared" si="136"/>
        <v>0.38903609831029184</v>
      </c>
      <c r="O177" s="386">
        <f t="shared" si="172"/>
        <v>0</v>
      </c>
      <c r="P177" s="4">
        <f t="shared" si="137"/>
        <v>6.321058525345622</v>
      </c>
      <c r="Q177" s="386">
        <f t="shared" si="138"/>
        <v>12.137942511263475</v>
      </c>
      <c r="R177" s="386">
        <f t="shared" si="173"/>
        <v>0.5138430800066166</v>
      </c>
      <c r="S177" s="386">
        <f t="shared" si="174"/>
        <v>0.98293074799742797</v>
      </c>
      <c r="T177" s="386">
        <f t="shared" si="175"/>
        <v>1.4967738280040446</v>
      </c>
      <c r="U177" s="4">
        <f t="shared" si="139"/>
        <v>1.8247324205858371</v>
      </c>
      <c r="V177" s="386">
        <f t="shared" si="176"/>
        <v>6.6592968134740966E-3</v>
      </c>
      <c r="W177" s="386">
        <f t="shared" si="177"/>
        <v>6.6592968134740966E-3</v>
      </c>
      <c r="X177" s="386">
        <f t="shared" si="140"/>
        <v>5.9176299297678314</v>
      </c>
      <c r="Y177" s="386">
        <f t="shared" si="178"/>
        <v>7.0036687971368056E-2</v>
      </c>
      <c r="Z177" s="603">
        <f t="shared" si="179"/>
        <v>7.0036687971368056E-2</v>
      </c>
      <c r="AA177" s="386">
        <f t="shared" si="141"/>
        <v>7.5707695501569781</v>
      </c>
      <c r="AB177" s="386">
        <f t="shared" si="142"/>
        <v>0.32670434401502935</v>
      </c>
      <c r="AC177" s="386">
        <f t="shared" si="143"/>
        <v>0.32033181818181816</v>
      </c>
      <c r="AD177">
        <f t="shared" si="144"/>
        <v>0</v>
      </c>
      <c r="AE177" s="386">
        <f t="shared" si="145"/>
        <v>0.69226966345281915</v>
      </c>
      <c r="AF177" s="386">
        <f t="shared" si="146"/>
        <v>9.4875232186884784</v>
      </c>
      <c r="AG177" s="386">
        <f t="shared" si="147"/>
        <v>0.51307465190337198</v>
      </c>
      <c r="AH177" s="386">
        <f t="shared" si="148"/>
        <v>0.24</v>
      </c>
      <c r="AI177" s="386">
        <f t="shared" si="149"/>
        <v>0.83918785524571882</v>
      </c>
      <c r="AJ177" s="386">
        <f t="shared" si="150"/>
        <v>0</v>
      </c>
      <c r="AK177" s="386">
        <f t="shared" si="151"/>
        <v>0</v>
      </c>
      <c r="AL177" s="386">
        <f t="shared" si="152"/>
        <v>0</v>
      </c>
      <c r="AM177">
        <f t="shared" si="153"/>
        <v>0</v>
      </c>
      <c r="AN177" s="386">
        <f t="shared" si="154"/>
        <v>0</v>
      </c>
      <c r="AO177" s="386">
        <f t="shared" si="155"/>
        <v>12.137942511263475</v>
      </c>
      <c r="AP177" s="386">
        <f t="shared" si="156"/>
        <v>0.27992633197280042</v>
      </c>
      <c r="AQ177" s="386">
        <f t="shared" si="157"/>
        <v>0</v>
      </c>
      <c r="AR177" s="386">
        <f t="shared" si="158"/>
        <v>0.29652750323470944</v>
      </c>
      <c r="AS177" s="386">
        <f t="shared" si="159"/>
        <v>0.27992633197280042</v>
      </c>
      <c r="AT177" s="386">
        <f t="shared" si="160"/>
        <v>0</v>
      </c>
      <c r="AU177" s="386">
        <f t="shared" si="161"/>
        <v>0.4903227</v>
      </c>
      <c r="AV177" s="386">
        <f t="shared" si="162"/>
        <v>0.36005238730061195</v>
      </c>
      <c r="AW177" s="386">
        <f t="shared" si="163"/>
        <v>0.59328000000000003</v>
      </c>
      <c r="AX177" s="386">
        <f t="shared" si="164"/>
        <v>3.6000000000000004E-2</v>
      </c>
      <c r="AY177" s="386">
        <f t="shared" si="165"/>
        <v>6.6000000000000003E-2</v>
      </c>
      <c r="AZ177" s="386">
        <f t="shared" si="166"/>
        <v>4.3499999999999997E-2</v>
      </c>
      <c r="BA177" s="386">
        <f t="shared" si="180"/>
        <v>0.10200000000000001</v>
      </c>
      <c r="BB177" s="386">
        <f t="shared" si="181"/>
        <v>4.9471099220227455</v>
      </c>
      <c r="BC177">
        <f t="shared" si="167"/>
        <v>144</v>
      </c>
      <c r="BD177" s="604">
        <f t="shared" si="182"/>
        <v>0.96678613015980863</v>
      </c>
      <c r="BE177" s="614">
        <f t="shared" si="168"/>
        <v>59.129618172640953</v>
      </c>
      <c r="BF177" s="614">
        <f t="shared" si="169"/>
        <v>41.959392762285944</v>
      </c>
      <c r="BG177" s="9"/>
      <c r="BH177" s="4">
        <f t="shared" si="183"/>
        <v>96.678613015980858</v>
      </c>
      <c r="BI177" s="386">
        <f t="shared" si="184"/>
        <v>1.4967738280040446</v>
      </c>
      <c r="BJ177" s="386">
        <f t="shared" si="185"/>
        <v>2.3183077219332473</v>
      </c>
      <c r="BK177" s="386">
        <f t="shared" si="186"/>
        <v>1.0009943462457187</v>
      </c>
      <c r="BL177" s="386">
        <f t="shared" si="187"/>
        <v>0.36005238730061195</v>
      </c>
    </row>
    <row r="178" spans="7:64" x14ac:dyDescent="0.2">
      <c r="G178">
        <v>169</v>
      </c>
      <c r="H178" s="610">
        <f t="shared" si="131"/>
        <v>31.349999999999998</v>
      </c>
      <c r="I178" s="4" t="str">
        <f t="shared" si="132"/>
        <v>BUCK</v>
      </c>
      <c r="J178">
        <f t="shared" si="170"/>
        <v>1</v>
      </c>
      <c r="K178">
        <f t="shared" si="133"/>
        <v>12</v>
      </c>
      <c r="L178" s="4">
        <f t="shared" si="134"/>
        <v>5.1036682615629987</v>
      </c>
      <c r="M178" s="4">
        <f t="shared" si="135"/>
        <v>12</v>
      </c>
      <c r="N178" s="386">
        <f t="shared" si="136"/>
        <v>0.38717752723103382</v>
      </c>
      <c r="O178" s="386">
        <f t="shared" si="172"/>
        <v>0</v>
      </c>
      <c r="P178" s="4">
        <f t="shared" si="137"/>
        <v>6.3402873808197562</v>
      </c>
      <c r="Q178" s="386">
        <f t="shared" si="138"/>
        <v>12.138778233658796</v>
      </c>
      <c r="R178" s="386">
        <f t="shared" si="173"/>
        <v>0.51391674996660797</v>
      </c>
      <c r="S178" s="386">
        <f t="shared" si="174"/>
        <v>0.98983361987624729</v>
      </c>
      <c r="T178" s="386">
        <f t="shared" si="175"/>
        <v>1.5037503698428552</v>
      </c>
      <c r="U178" s="4">
        <f t="shared" si="139"/>
        <v>1.8302833130279368</v>
      </c>
      <c r="V178" s="386">
        <f t="shared" si="176"/>
        <v>6.6998740118970413E-3</v>
      </c>
      <c r="W178" s="386">
        <f t="shared" si="177"/>
        <v>6.6998740118970413E-3</v>
      </c>
      <c r="X178" s="386">
        <f t="shared" si="140"/>
        <v>5.9128571868036577</v>
      </c>
      <c r="Y178" s="386">
        <f t="shared" si="178"/>
        <v>6.9923760223071327E-2</v>
      </c>
      <c r="Z178" s="603">
        <f t="shared" si="179"/>
        <v>6.9923760223071327E-2</v>
      </c>
      <c r="AA178" s="386">
        <f t="shared" si="141"/>
        <v>7.5531837159976289</v>
      </c>
      <c r="AB178" s="386">
        <f t="shared" si="142"/>
        <v>0.32518833021138699</v>
      </c>
      <c r="AC178" s="386">
        <f t="shared" si="143"/>
        <v>0.32187187499999997</v>
      </c>
      <c r="AD178">
        <f t="shared" si="144"/>
        <v>0</v>
      </c>
      <c r="AE178" s="386">
        <f t="shared" si="145"/>
        <v>0.69207087998118855</v>
      </c>
      <c r="AF178" s="386">
        <f t="shared" si="146"/>
        <v>9.5025971585844253</v>
      </c>
      <c r="AG178" s="386">
        <f t="shared" si="147"/>
        <v>0.51470631072251971</v>
      </c>
      <c r="AH178" s="386">
        <f t="shared" si="148"/>
        <v>0.24</v>
      </c>
      <c r="AI178" s="386">
        <f t="shared" si="149"/>
        <v>0.84131203328637838</v>
      </c>
      <c r="AJ178" s="386">
        <f t="shared" si="150"/>
        <v>0</v>
      </c>
      <c r="AK178" s="386">
        <f t="shared" si="151"/>
        <v>0</v>
      </c>
      <c r="AL178" s="386">
        <f t="shared" si="152"/>
        <v>0</v>
      </c>
      <c r="AM178">
        <f t="shared" si="153"/>
        <v>0</v>
      </c>
      <c r="AN178" s="386">
        <f t="shared" si="154"/>
        <v>0</v>
      </c>
      <c r="AO178" s="386">
        <f t="shared" si="155"/>
        <v>12.138778233658796</v>
      </c>
      <c r="AP178" s="386">
        <f t="shared" si="156"/>
        <v>0.27996488031130229</v>
      </c>
      <c r="AQ178" s="386">
        <f t="shared" si="157"/>
        <v>0</v>
      </c>
      <c r="AR178" s="386">
        <f t="shared" si="158"/>
        <v>0.29657075976350672</v>
      </c>
      <c r="AS178" s="386">
        <f t="shared" si="159"/>
        <v>0.27996488031130229</v>
      </c>
      <c r="AT178" s="386">
        <f t="shared" si="160"/>
        <v>0</v>
      </c>
      <c r="AU178" s="386">
        <f t="shared" si="161"/>
        <v>0.49268519999999999</v>
      </c>
      <c r="AV178" s="386">
        <f t="shared" si="162"/>
        <v>0.36119741103334718</v>
      </c>
      <c r="AW178" s="386">
        <f t="shared" si="163"/>
        <v>0.59328000000000003</v>
      </c>
      <c r="AX178" s="386">
        <f t="shared" si="164"/>
        <v>3.6000000000000004E-2</v>
      </c>
      <c r="AY178" s="386">
        <f t="shared" si="165"/>
        <v>6.6000000000000003E-2</v>
      </c>
      <c r="AZ178" s="386">
        <f t="shared" si="166"/>
        <v>4.3499999999999997E-2</v>
      </c>
      <c r="BA178" s="386">
        <f t="shared" si="180"/>
        <v>0.10200000000000001</v>
      </c>
      <c r="BB178" s="386">
        <f t="shared" si="181"/>
        <v>4.9594902881422449</v>
      </c>
      <c r="BC178">
        <f t="shared" si="167"/>
        <v>144</v>
      </c>
      <c r="BD178" s="604">
        <f t="shared" si="182"/>
        <v>0.96670577833913929</v>
      </c>
      <c r="BE178" s="614">
        <f t="shared" si="168"/>
        <v>59.237803999059423</v>
      </c>
      <c r="BF178" s="614">
        <f t="shared" si="169"/>
        <v>42.065601664318919</v>
      </c>
      <c r="BG178" s="9"/>
      <c r="BH178" s="4">
        <f t="shared" si="183"/>
        <v>96.670577833913924</v>
      </c>
      <c r="BI178" s="386">
        <f t="shared" si="184"/>
        <v>1.5037503698428552</v>
      </c>
      <c r="BJ178" s="386">
        <f t="shared" si="185"/>
        <v>2.3226388730310736</v>
      </c>
      <c r="BK178" s="386">
        <f t="shared" si="186"/>
        <v>1.0038981492863783</v>
      </c>
      <c r="BL178" s="386">
        <f t="shared" si="187"/>
        <v>0.36119741103334718</v>
      </c>
    </row>
    <row r="179" spans="7:64" x14ac:dyDescent="0.2">
      <c r="G179">
        <v>170</v>
      </c>
      <c r="H179" s="610">
        <f t="shared" si="131"/>
        <v>31.5</v>
      </c>
      <c r="I179" s="4" t="str">
        <f t="shared" si="132"/>
        <v>BUCK</v>
      </c>
      <c r="J179">
        <f t="shared" si="170"/>
        <v>1</v>
      </c>
      <c r="K179">
        <f t="shared" si="133"/>
        <v>12</v>
      </c>
      <c r="L179" s="4">
        <f t="shared" si="134"/>
        <v>5.0793650793650791</v>
      </c>
      <c r="M179" s="4">
        <f t="shared" si="135"/>
        <v>12</v>
      </c>
      <c r="N179" s="386">
        <f t="shared" si="136"/>
        <v>0.38533662989729933</v>
      </c>
      <c r="O179" s="386">
        <f t="shared" si="172"/>
        <v>0</v>
      </c>
      <c r="P179" s="4">
        <f t="shared" si="137"/>
        <v>6.3593333829706298</v>
      </c>
      <c r="Q179" s="386">
        <f t="shared" si="138"/>
        <v>12.139608454269865</v>
      </c>
      <c r="R179" s="386">
        <f t="shared" si="173"/>
        <v>0.51398994078565474</v>
      </c>
      <c r="S179" s="386">
        <f t="shared" si="174"/>
        <v>0.99669781452466266</v>
      </c>
      <c r="T179" s="386">
        <f t="shared" si="175"/>
        <v>1.5106877553103173</v>
      </c>
      <c r="U179" s="4">
        <f t="shared" si="139"/>
        <v>1.8357814202623335</v>
      </c>
      <c r="V179" s="386">
        <f t="shared" si="176"/>
        <v>6.740186845960781E-3</v>
      </c>
      <c r="W179" s="386">
        <f t="shared" si="177"/>
        <v>6.740186845960781E-3</v>
      </c>
      <c r="X179" s="386">
        <f t="shared" si="140"/>
        <v>5.9080409004642496</v>
      </c>
      <c r="Y179" s="386">
        <f t="shared" si="178"/>
        <v>6.9809894563116842E-2</v>
      </c>
      <c r="Z179" s="603">
        <f t="shared" si="179"/>
        <v>6.9809894563116842E-2</v>
      </c>
      <c r="AA179" s="386">
        <f t="shared" si="141"/>
        <v>7.5357212758475489</v>
      </c>
      <c r="AB179" s="386">
        <f t="shared" si="142"/>
        <v>0.32368644233939003</v>
      </c>
      <c r="AC179" s="386">
        <f t="shared" si="143"/>
        <v>0.32341193181818179</v>
      </c>
      <c r="AD179">
        <f t="shared" si="144"/>
        <v>0</v>
      </c>
      <c r="AE179" s="386">
        <f t="shared" si="145"/>
        <v>0.69188941906762524</v>
      </c>
      <c r="AF179" s="386">
        <f t="shared" si="146"/>
        <v>9.5175100880282208</v>
      </c>
      <c r="AG179" s="386">
        <f t="shared" si="147"/>
        <v>0.51632309017159805</v>
      </c>
      <c r="AH179" s="386">
        <f t="shared" si="148"/>
        <v>0.24</v>
      </c>
      <c r="AI179" s="386">
        <f t="shared" si="149"/>
        <v>0.84341836553131999</v>
      </c>
      <c r="AJ179" s="386">
        <f t="shared" si="150"/>
        <v>0</v>
      </c>
      <c r="AK179" s="386">
        <f t="shared" si="151"/>
        <v>0</v>
      </c>
      <c r="AL179" s="386">
        <f t="shared" si="152"/>
        <v>0</v>
      </c>
      <c r="AM179">
        <f t="shared" si="153"/>
        <v>0</v>
      </c>
      <c r="AN179" s="386">
        <f t="shared" si="154"/>
        <v>0</v>
      </c>
      <c r="AO179" s="386">
        <f t="shared" si="155"/>
        <v>12.139608454269865</v>
      </c>
      <c r="AP179" s="386">
        <f t="shared" si="156"/>
        <v>0.28000317750366271</v>
      </c>
      <c r="AQ179" s="386">
        <f t="shared" si="157"/>
        <v>0</v>
      </c>
      <c r="AR179" s="386">
        <f t="shared" si="158"/>
        <v>0.29661373517151346</v>
      </c>
      <c r="AS179" s="386">
        <f t="shared" si="159"/>
        <v>0.28000317750366271</v>
      </c>
      <c r="AT179" s="386">
        <f t="shared" si="160"/>
        <v>0</v>
      </c>
      <c r="AU179" s="386">
        <f t="shared" si="161"/>
        <v>0.49504769999999998</v>
      </c>
      <c r="AV179" s="386">
        <f t="shared" si="162"/>
        <v>0.36233199310287578</v>
      </c>
      <c r="AW179" s="386">
        <f t="shared" si="163"/>
        <v>0.59328000000000003</v>
      </c>
      <c r="AX179" s="386">
        <f t="shared" si="164"/>
        <v>3.6000000000000004E-2</v>
      </c>
      <c r="AY179" s="386">
        <f t="shared" si="165"/>
        <v>6.6000000000000003E-2</v>
      </c>
      <c r="AZ179" s="386">
        <f t="shared" si="166"/>
        <v>4.3499999999999997E-2</v>
      </c>
      <c r="BA179" s="386">
        <f t="shared" si="180"/>
        <v>0.10200000000000001</v>
      </c>
      <c r="BB179" s="386">
        <f t="shared" si="181"/>
        <v>4.971819049592729</v>
      </c>
      <c r="BC179">
        <f t="shared" si="167"/>
        <v>144</v>
      </c>
      <c r="BD179" s="604">
        <f t="shared" si="182"/>
        <v>0.96662577471825317</v>
      </c>
      <c r="BE179" s="614">
        <f t="shared" si="168"/>
        <v>59.346855953381258</v>
      </c>
      <c r="BF179" s="614">
        <f t="shared" si="169"/>
        <v>42.170918276565999</v>
      </c>
      <c r="BG179" s="9"/>
      <c r="BH179" s="4">
        <f t="shared" si="183"/>
        <v>96.662577471825315</v>
      </c>
      <c r="BI179" s="386">
        <f t="shared" si="184"/>
        <v>1.5106877553103173</v>
      </c>
      <c r="BJ179" s="386">
        <f t="shared" si="185"/>
        <v>2.3269692197704588</v>
      </c>
      <c r="BK179" s="386">
        <f t="shared" si="186"/>
        <v>1.0067841065313199</v>
      </c>
      <c r="BL179" s="386">
        <f t="shared" si="187"/>
        <v>0.36233199310287578</v>
      </c>
    </row>
    <row r="180" spans="7:64" x14ac:dyDescent="0.2">
      <c r="G180">
        <v>171</v>
      </c>
      <c r="H180" s="610">
        <f t="shared" si="131"/>
        <v>31.65</v>
      </c>
      <c r="I180" s="4" t="str">
        <f t="shared" si="132"/>
        <v>BUCK</v>
      </c>
      <c r="J180">
        <f t="shared" si="170"/>
        <v>1</v>
      </c>
      <c r="K180">
        <f t="shared" si="133"/>
        <v>12</v>
      </c>
      <c r="L180" s="4">
        <f t="shared" si="134"/>
        <v>5.0552922590837284</v>
      </c>
      <c r="M180" s="4">
        <f t="shared" si="135"/>
        <v>12</v>
      </c>
      <c r="N180" s="386">
        <f t="shared" si="136"/>
        <v>0.38351315540412645</v>
      </c>
      <c r="O180" s="386">
        <f t="shared" si="172"/>
        <v>0</v>
      </c>
      <c r="P180" s="4">
        <f t="shared" si="137"/>
        <v>6.3781991276716568</v>
      </c>
      <c r="Q180" s="386">
        <f t="shared" si="138"/>
        <v>12.140433216159105</v>
      </c>
      <c r="R180" s="386">
        <f t="shared" si="173"/>
        <v>0.51406265614481805</v>
      </c>
      <c r="S180" s="386">
        <f t="shared" si="174"/>
        <v>1.0035235241711569</v>
      </c>
      <c r="T180" s="386">
        <f t="shared" si="175"/>
        <v>1.5175861803159749</v>
      </c>
      <c r="U180" s="4">
        <f t="shared" si="139"/>
        <v>1.8412274916531337</v>
      </c>
      <c r="V180" s="386">
        <f t="shared" si="176"/>
        <v>6.7802373520385812E-3</v>
      </c>
      <c r="W180" s="386">
        <f t="shared" si="177"/>
        <v>6.7802373520385812E-3</v>
      </c>
      <c r="X180" s="386">
        <f t="shared" si="140"/>
        <v>5.9031826912978289</v>
      </c>
      <c r="Y180" s="386">
        <f t="shared" si="178"/>
        <v>6.9695131773676547E-2</v>
      </c>
      <c r="Z180" s="603">
        <f t="shared" si="179"/>
        <v>6.9695131773676547E-2</v>
      </c>
      <c r="AA180" s="386">
        <f t="shared" si="141"/>
        <v>7.5183807757274987</v>
      </c>
      <c r="AB180" s="386">
        <f t="shared" si="142"/>
        <v>0.32219848208632429</v>
      </c>
      <c r="AC180" s="386">
        <f t="shared" si="143"/>
        <v>0.32495198863636354</v>
      </c>
      <c r="AD180">
        <f t="shared" si="144"/>
        <v>0</v>
      </c>
      <c r="AE180" s="386">
        <f t="shared" si="145"/>
        <v>0.69172502108567491</v>
      </c>
      <c r="AF180" s="386">
        <f t="shared" si="146"/>
        <v>9.5322646410593563</v>
      </c>
      <c r="AG180" s="386">
        <f t="shared" si="147"/>
        <v>0.5179251943669857</v>
      </c>
      <c r="AH180" s="386">
        <f t="shared" si="148"/>
        <v>0.24</v>
      </c>
      <c r="AI180" s="386">
        <f t="shared" si="149"/>
        <v>0.84550707789887292</v>
      </c>
      <c r="AJ180" s="386">
        <f t="shared" si="150"/>
        <v>0</v>
      </c>
      <c r="AK180" s="386">
        <f t="shared" si="151"/>
        <v>0</v>
      </c>
      <c r="AL180" s="386">
        <f t="shared" si="152"/>
        <v>0</v>
      </c>
      <c r="AM180">
        <f t="shared" si="153"/>
        <v>0</v>
      </c>
      <c r="AN180" s="386">
        <f t="shared" si="154"/>
        <v>0</v>
      </c>
      <c r="AO180" s="386">
        <f t="shared" si="155"/>
        <v>12.140433216159105</v>
      </c>
      <c r="AP180" s="386">
        <f t="shared" si="156"/>
        <v>0.28004122548443672</v>
      </c>
      <c r="AQ180" s="386">
        <f t="shared" si="157"/>
        <v>0</v>
      </c>
      <c r="AR180" s="386">
        <f t="shared" si="158"/>
        <v>0.2966564316159509</v>
      </c>
      <c r="AS180" s="386">
        <f t="shared" si="159"/>
        <v>0.28004122548443672</v>
      </c>
      <c r="AT180" s="386">
        <f t="shared" si="160"/>
        <v>0</v>
      </c>
      <c r="AU180" s="386">
        <f t="shared" si="161"/>
        <v>0.49741019999999997</v>
      </c>
      <c r="AV180" s="386">
        <f t="shared" si="162"/>
        <v>0.36345627674876185</v>
      </c>
      <c r="AW180" s="386">
        <f t="shared" si="163"/>
        <v>0.59328000000000003</v>
      </c>
      <c r="AX180" s="386">
        <f t="shared" si="164"/>
        <v>3.6000000000000004E-2</v>
      </c>
      <c r="AY180" s="386">
        <f t="shared" si="165"/>
        <v>6.6000000000000003E-2</v>
      </c>
      <c r="AZ180" s="386">
        <f t="shared" si="166"/>
        <v>4.3499999999999997E-2</v>
      </c>
      <c r="BA180" s="386">
        <f t="shared" si="180"/>
        <v>0.10200000000000001</v>
      </c>
      <c r="BB180" s="386">
        <f t="shared" si="181"/>
        <v>4.9840965567909503</v>
      </c>
      <c r="BC180">
        <f t="shared" si="167"/>
        <v>144</v>
      </c>
      <c r="BD180" s="604">
        <f t="shared" si="182"/>
        <v>0.96654611685421699</v>
      </c>
      <c r="BE180" s="614">
        <f t="shared" si="168"/>
        <v>59.456761054283746</v>
      </c>
      <c r="BF180" s="614">
        <f t="shared" si="169"/>
        <v>42.275353894943649</v>
      </c>
      <c r="BG180" s="9"/>
      <c r="BH180" s="4">
        <f t="shared" si="183"/>
        <v>96.654611685421699</v>
      </c>
      <c r="BI180" s="386">
        <f t="shared" si="184"/>
        <v>1.5175861803159749</v>
      </c>
      <c r="BJ180" s="386">
        <f t="shared" si="185"/>
        <v>2.3312987306004986</v>
      </c>
      <c r="BK180" s="386">
        <f t="shared" si="186"/>
        <v>1.009652443898873</v>
      </c>
      <c r="BL180" s="386">
        <f t="shared" si="187"/>
        <v>0.36345627674876185</v>
      </c>
    </row>
    <row r="181" spans="7:64" x14ac:dyDescent="0.2">
      <c r="G181">
        <v>172</v>
      </c>
      <c r="H181" s="610">
        <f t="shared" si="131"/>
        <v>31.8</v>
      </c>
      <c r="I181" s="4" t="str">
        <f t="shared" si="132"/>
        <v>BUCK</v>
      </c>
      <c r="J181">
        <f t="shared" si="170"/>
        <v>1</v>
      </c>
      <c r="K181">
        <f t="shared" si="133"/>
        <v>12</v>
      </c>
      <c r="L181" s="4">
        <f t="shared" si="134"/>
        <v>5.0314465408805029</v>
      </c>
      <c r="M181" s="4">
        <f t="shared" si="135"/>
        <v>12</v>
      </c>
      <c r="N181" s="386">
        <f t="shared" si="136"/>
        <v>0.381706857573474</v>
      </c>
      <c r="O181" s="386">
        <f t="shared" si="172"/>
        <v>0</v>
      </c>
      <c r="P181" s="4">
        <f t="shared" si="137"/>
        <v>6.3968871618913239</v>
      </c>
      <c r="Q181" s="386">
        <f t="shared" si="138"/>
        <v>12.14125256224267</v>
      </c>
      <c r="R181" s="386">
        <f t="shared" si="173"/>
        <v>0.51413489971421533</v>
      </c>
      <c r="S181" s="386">
        <f t="shared" si="174"/>
        <v>1.0103109436149103</v>
      </c>
      <c r="T181" s="386">
        <f t="shared" si="175"/>
        <v>1.5244458433291257</v>
      </c>
      <c r="U181" s="4">
        <f t="shared" si="139"/>
        <v>1.8466222624468087</v>
      </c>
      <c r="V181" s="386">
        <f t="shared" si="176"/>
        <v>6.8200275603283412E-3</v>
      </c>
      <c r="W181" s="386">
        <f t="shared" si="177"/>
        <v>6.8200275603283412E-3</v>
      </c>
      <c r="X181" s="386">
        <f t="shared" si="140"/>
        <v>5.8982841304384523</v>
      </c>
      <c r="Y181" s="386">
        <f t="shared" si="178"/>
        <v>6.9579511366764185E-2</v>
      </c>
      <c r="Z181" s="603">
        <f t="shared" si="179"/>
        <v>6.9579511366764185E-2</v>
      </c>
      <c r="AA181" s="386">
        <f t="shared" si="141"/>
        <v>7.5011607858310159</v>
      </c>
      <c r="AB181" s="386">
        <f t="shared" si="142"/>
        <v>0.32072425486886724</v>
      </c>
      <c r="AC181" s="386">
        <f t="shared" si="143"/>
        <v>0.32649204545454541</v>
      </c>
      <c r="AD181">
        <f t="shared" si="144"/>
        <v>0</v>
      </c>
      <c r="AE181" s="386">
        <f t="shared" si="145"/>
        <v>0.69157743161092</v>
      </c>
      <c r="AF181" s="386">
        <f t="shared" si="146"/>
        <v>9.5468633930351814</v>
      </c>
      <c r="AG181" s="386">
        <f t="shared" si="147"/>
        <v>0.51951282367806884</v>
      </c>
      <c r="AH181" s="386">
        <f t="shared" si="148"/>
        <v>0.24</v>
      </c>
      <c r="AI181" s="386">
        <f t="shared" si="149"/>
        <v>0.84757839247021249</v>
      </c>
      <c r="AJ181" s="386">
        <f t="shared" si="150"/>
        <v>0</v>
      </c>
      <c r="AK181" s="386">
        <f t="shared" si="151"/>
        <v>0</v>
      </c>
      <c r="AL181" s="386">
        <f t="shared" si="152"/>
        <v>0</v>
      </c>
      <c r="AM181">
        <f t="shared" si="153"/>
        <v>0</v>
      </c>
      <c r="AN181" s="386">
        <f t="shared" si="154"/>
        <v>0</v>
      </c>
      <c r="AO181" s="386">
        <f t="shared" si="155"/>
        <v>12.14125256224267</v>
      </c>
      <c r="AP181" s="386">
        <f t="shared" si="156"/>
        <v>0.28007902618231201</v>
      </c>
      <c r="AQ181" s="386">
        <f t="shared" si="157"/>
        <v>0</v>
      </c>
      <c r="AR181" s="386">
        <f t="shared" si="158"/>
        <v>0.29669885124768441</v>
      </c>
      <c r="AS181" s="386">
        <f t="shared" si="159"/>
        <v>0.28007902618231201</v>
      </c>
      <c r="AT181" s="386">
        <f t="shared" si="160"/>
        <v>0</v>
      </c>
      <c r="AU181" s="386">
        <f t="shared" si="161"/>
        <v>0.49977270000000001</v>
      </c>
      <c r="AV181" s="386">
        <f t="shared" si="162"/>
        <v>0.36457040258110091</v>
      </c>
      <c r="AW181" s="386">
        <f t="shared" si="163"/>
        <v>0.59328000000000003</v>
      </c>
      <c r="AX181" s="386">
        <f t="shared" si="164"/>
        <v>3.6000000000000004E-2</v>
      </c>
      <c r="AY181" s="386">
        <f t="shared" si="165"/>
        <v>6.6000000000000003E-2</v>
      </c>
      <c r="AZ181" s="386">
        <f t="shared" si="166"/>
        <v>4.3499999999999997E-2</v>
      </c>
      <c r="BA181" s="386">
        <f t="shared" si="180"/>
        <v>0.10200000000000001</v>
      </c>
      <c r="BB181" s="386">
        <f t="shared" si="181"/>
        <v>4.9963231601661358</v>
      </c>
      <c r="BC181">
        <f t="shared" si="167"/>
        <v>144</v>
      </c>
      <c r="BD181" s="604">
        <f t="shared" si="182"/>
        <v>0.96646680230628745</v>
      </c>
      <c r="BE181" s="614">
        <f t="shared" si="168"/>
        <v>59.567506580546002</v>
      </c>
      <c r="BF181" s="614">
        <f t="shared" si="169"/>
        <v>42.378919623510626</v>
      </c>
      <c r="BG181" s="9"/>
      <c r="BH181" s="4">
        <f t="shared" si="183"/>
        <v>96.646680230628746</v>
      </c>
      <c r="BI181" s="386">
        <f t="shared" si="184"/>
        <v>1.5244458433291257</v>
      </c>
      <c r="BJ181" s="386">
        <f t="shared" si="185"/>
        <v>2.335627375328817</v>
      </c>
      <c r="BK181" s="386">
        <f t="shared" si="186"/>
        <v>1.0125033834702126</v>
      </c>
      <c r="BL181" s="386">
        <f t="shared" si="187"/>
        <v>0.36457040258110091</v>
      </c>
    </row>
    <row r="182" spans="7:64" x14ac:dyDescent="0.2">
      <c r="G182">
        <v>173</v>
      </c>
      <c r="H182" s="610">
        <f t="shared" si="131"/>
        <v>31.95</v>
      </c>
      <c r="I182" s="4" t="str">
        <f t="shared" si="132"/>
        <v>BUCK</v>
      </c>
      <c r="J182">
        <f t="shared" si="170"/>
        <v>1</v>
      </c>
      <c r="K182">
        <f t="shared" si="133"/>
        <v>12</v>
      </c>
      <c r="L182" s="4">
        <f t="shared" si="134"/>
        <v>5.0078247261345856</v>
      </c>
      <c r="M182" s="4">
        <f t="shared" si="135"/>
        <v>12</v>
      </c>
      <c r="N182" s="386">
        <f t="shared" si="136"/>
        <v>0.37991749484342774</v>
      </c>
      <c r="O182" s="386">
        <f t="shared" si="172"/>
        <v>0</v>
      </c>
      <c r="P182" s="4">
        <f t="shared" si="137"/>
        <v>6.4153999848394783</v>
      </c>
      <c r="Q182" s="386">
        <f t="shared" si="138"/>
        <v>12.142066535278218</v>
      </c>
      <c r="R182" s="386">
        <f t="shared" si="173"/>
        <v>0.51420667515191831</v>
      </c>
      <c r="S182" s="386">
        <f t="shared" si="174"/>
        <v>1.0170602700340472</v>
      </c>
      <c r="T182" s="386">
        <f t="shared" si="175"/>
        <v>1.5312669451859655</v>
      </c>
      <c r="U182" s="4">
        <f t="shared" si="139"/>
        <v>1.8519664541030971</v>
      </c>
      <c r="V182" s="386">
        <f t="shared" si="176"/>
        <v>6.8595594942463976E-3</v>
      </c>
      <c r="W182" s="386">
        <f t="shared" si="177"/>
        <v>6.8595594942463976E-3</v>
      </c>
      <c r="X182" s="386">
        <f t="shared" si="140"/>
        <v>5.893346741263243</v>
      </c>
      <c r="Y182" s="386">
        <f t="shared" si="178"/>
        <v>6.9463071625516168E-2</v>
      </c>
      <c r="Z182" s="603">
        <f t="shared" si="179"/>
        <v>6.9463071625516168E-2</v>
      </c>
      <c r="AA182" s="386">
        <f t="shared" si="141"/>
        <v>7.4840599000038308</v>
      </c>
      <c r="AB182" s="386">
        <f t="shared" si="142"/>
        <v>0.31926356974501852</v>
      </c>
      <c r="AC182" s="386">
        <f t="shared" si="143"/>
        <v>0.32803210227272722</v>
      </c>
      <c r="AD182">
        <f t="shared" si="144"/>
        <v>0</v>
      </c>
      <c r="AE182" s="386">
        <f t="shared" si="145"/>
        <v>0.69144640129041035</v>
      </c>
      <c r="AF182" s="386">
        <f t="shared" si="146"/>
        <v>9.5613088622990219</v>
      </c>
      <c r="AG182" s="386">
        <f t="shared" si="147"/>
        <v>0.52108617481358366</v>
      </c>
      <c r="AH182" s="386">
        <f t="shared" si="148"/>
        <v>0.24</v>
      </c>
      <c r="AI182" s="386">
        <f t="shared" si="149"/>
        <v>0.84963252757146601</v>
      </c>
      <c r="AJ182" s="386">
        <f t="shared" si="150"/>
        <v>0</v>
      </c>
      <c r="AK182" s="386">
        <f t="shared" si="151"/>
        <v>0</v>
      </c>
      <c r="AL182" s="386">
        <f t="shared" si="152"/>
        <v>0</v>
      </c>
      <c r="AM182">
        <f t="shared" si="153"/>
        <v>0</v>
      </c>
      <c r="AN182" s="386">
        <f t="shared" si="154"/>
        <v>0</v>
      </c>
      <c r="AO182" s="386">
        <f t="shared" si="155"/>
        <v>12.142066535278218</v>
      </c>
      <c r="AP182" s="386">
        <f t="shared" si="156"/>
        <v>0.28011658151953406</v>
      </c>
      <c r="AQ182" s="386">
        <f t="shared" si="157"/>
        <v>0</v>
      </c>
      <c r="AR182" s="386">
        <f t="shared" si="158"/>
        <v>0.29674099621057554</v>
      </c>
      <c r="AS182" s="386">
        <f t="shared" si="159"/>
        <v>0.28011658151953406</v>
      </c>
      <c r="AT182" s="386">
        <f t="shared" si="160"/>
        <v>0</v>
      </c>
      <c r="AU182" s="386">
        <f t="shared" si="161"/>
        <v>0.5021352</v>
      </c>
      <c r="AV182" s="386">
        <f t="shared" si="162"/>
        <v>0.36567450864111128</v>
      </c>
      <c r="AW182" s="386">
        <f t="shared" si="163"/>
        <v>0.59328000000000003</v>
      </c>
      <c r="AX182" s="386">
        <f t="shared" si="164"/>
        <v>3.6000000000000004E-2</v>
      </c>
      <c r="AY182" s="386">
        <f t="shared" si="165"/>
        <v>6.6000000000000003E-2</v>
      </c>
      <c r="AZ182" s="386">
        <f t="shared" si="166"/>
        <v>4.3499999999999997E-2</v>
      </c>
      <c r="BA182" s="386">
        <f t="shared" si="180"/>
        <v>0.10200000000000001</v>
      </c>
      <c r="BB182" s="386">
        <f t="shared" si="181"/>
        <v>5.0084992100192913</v>
      </c>
      <c r="BC182">
        <f t="shared" si="167"/>
        <v>144</v>
      </c>
      <c r="BD182" s="604">
        <f t="shared" si="182"/>
        <v>0.9663878286368075</v>
      </c>
      <c r="BE182" s="614">
        <f t="shared" si="168"/>
        <v>59.679080064520519</v>
      </c>
      <c r="BF182" s="614">
        <f t="shared" si="169"/>
        <v>42.481626378573303</v>
      </c>
      <c r="BG182" s="9"/>
      <c r="BH182" s="4">
        <f t="shared" si="183"/>
        <v>96.638782863680746</v>
      </c>
      <c r="BI182" s="386">
        <f t="shared" si="184"/>
        <v>1.5312669451859655</v>
      </c>
      <c r="BJ182" s="386">
        <f t="shared" si="185"/>
        <v>2.3399551250724522</v>
      </c>
      <c r="BK182" s="386">
        <f t="shared" si="186"/>
        <v>1.015337143571466</v>
      </c>
      <c r="BL182" s="386">
        <f t="shared" si="187"/>
        <v>0.36567450864111128</v>
      </c>
    </row>
    <row r="183" spans="7:64" x14ac:dyDescent="0.2">
      <c r="G183">
        <v>174</v>
      </c>
      <c r="H183" s="610">
        <f t="shared" si="131"/>
        <v>32.1</v>
      </c>
      <c r="I183" s="4" t="str">
        <f t="shared" si="132"/>
        <v>BUCK</v>
      </c>
      <c r="J183">
        <f t="shared" si="170"/>
        <v>1</v>
      </c>
      <c r="K183">
        <f t="shared" si="133"/>
        <v>12</v>
      </c>
      <c r="L183" s="4">
        <f t="shared" si="134"/>
        <v>4.9844236760124607</v>
      </c>
      <c r="M183" s="4">
        <f t="shared" si="135"/>
        <v>12</v>
      </c>
      <c r="N183" s="386">
        <f t="shared" si="136"/>
        <v>0.37814483016050759</v>
      </c>
      <c r="O183" s="386">
        <f t="shared" si="172"/>
        <v>0</v>
      </c>
      <c r="P183" s="4">
        <f t="shared" si="137"/>
        <v>6.433740049081508</v>
      </c>
      <c r="Q183" s="386">
        <f t="shared" si="138"/>
        <v>12.142875177853456</v>
      </c>
      <c r="R183" s="386">
        <f t="shared" si="173"/>
        <v>0.51427798610291797</v>
      </c>
      <c r="S183" s="386">
        <f t="shared" si="174"/>
        <v>1.0237717028024877</v>
      </c>
      <c r="T183" s="386">
        <f t="shared" si="175"/>
        <v>1.5380496889054056</v>
      </c>
      <c r="U183" s="4">
        <f t="shared" si="139"/>
        <v>1.8572607746166425</v>
      </c>
      <c r="V183" s="386">
        <f t="shared" si="176"/>
        <v>6.898835169859222E-3</v>
      </c>
      <c r="W183" s="386">
        <f t="shared" si="177"/>
        <v>6.898835169859222E-3</v>
      </c>
      <c r="X183" s="386">
        <f t="shared" si="140"/>
        <v>5.8883720009863039</v>
      </c>
      <c r="Y183" s="386">
        <f t="shared" si="178"/>
        <v>6.9345849643998911E-2</v>
      </c>
      <c r="Z183" s="603">
        <f t="shared" si="179"/>
        <v>6.9345849643998911E-2</v>
      </c>
      <c r="AA183" s="386">
        <f t="shared" si="141"/>
        <v>7.4670767352370886</v>
      </c>
      <c r="AB183" s="386">
        <f t="shared" si="142"/>
        <v>0.3178162393285382</v>
      </c>
      <c r="AC183" s="386">
        <f t="shared" si="143"/>
        <v>0.32957215909090909</v>
      </c>
      <c r="AD183">
        <f t="shared" si="144"/>
        <v>0</v>
      </c>
      <c r="AE183" s="386">
        <f t="shared" si="145"/>
        <v>0.69133168571603298</v>
      </c>
      <c r="AF183" s="386">
        <f t="shared" si="146"/>
        <v>9.5756035117902965</v>
      </c>
      <c r="AG183" s="386">
        <f t="shared" si="147"/>
        <v>0.52264544090556075</v>
      </c>
      <c r="AH183" s="386">
        <f t="shared" si="148"/>
        <v>0.24</v>
      </c>
      <c r="AI183" s="386">
        <f t="shared" si="149"/>
        <v>0.85166969785369029</v>
      </c>
      <c r="AJ183" s="386">
        <f t="shared" si="150"/>
        <v>0</v>
      </c>
      <c r="AK183" s="386">
        <f t="shared" si="151"/>
        <v>0</v>
      </c>
      <c r="AL183" s="386">
        <f t="shared" si="152"/>
        <v>0</v>
      </c>
      <c r="AM183">
        <f t="shared" si="153"/>
        <v>0</v>
      </c>
      <c r="AN183" s="386">
        <f t="shared" si="154"/>
        <v>0</v>
      </c>
      <c r="AO183" s="386">
        <f t="shared" si="155"/>
        <v>12.142875177853456</v>
      </c>
      <c r="AP183" s="386">
        <f t="shared" si="156"/>
        <v>0.28015389341136626</v>
      </c>
      <c r="AQ183" s="386">
        <f t="shared" si="157"/>
        <v>0</v>
      </c>
      <c r="AR183" s="386">
        <f t="shared" si="158"/>
        <v>0.29678286864087322</v>
      </c>
      <c r="AS183" s="386">
        <f t="shared" si="159"/>
        <v>0.28015389341136626</v>
      </c>
      <c r="AT183" s="386">
        <f t="shared" si="160"/>
        <v>0</v>
      </c>
      <c r="AU183" s="386">
        <f t="shared" si="161"/>
        <v>0.50449770000000005</v>
      </c>
      <c r="AV183" s="386">
        <f t="shared" si="162"/>
        <v>0.3667687304600426</v>
      </c>
      <c r="AW183" s="386">
        <f t="shared" si="163"/>
        <v>0.59328000000000003</v>
      </c>
      <c r="AX183" s="386">
        <f t="shared" si="164"/>
        <v>3.6000000000000004E-2</v>
      </c>
      <c r="AY183" s="386">
        <f t="shared" si="165"/>
        <v>6.6000000000000003E-2</v>
      </c>
      <c r="AZ183" s="386">
        <f t="shared" si="166"/>
        <v>4.3499999999999997E-2</v>
      </c>
      <c r="BA183" s="386">
        <f t="shared" si="180"/>
        <v>0.10200000000000001</v>
      </c>
      <c r="BB183" s="386">
        <f t="shared" si="181"/>
        <v>5.0206250563899024</v>
      </c>
      <c r="BC183">
        <f t="shared" si="167"/>
        <v>144</v>
      </c>
      <c r="BD183" s="604">
        <f t="shared" si="182"/>
        <v>0.96630919341205246</v>
      </c>
      <c r="BE183" s="614">
        <f t="shared" si="168"/>
        <v>59.791469285801654</v>
      </c>
      <c r="BF183" s="614">
        <f t="shared" si="169"/>
        <v>42.583484892684517</v>
      </c>
      <c r="BG183" s="9"/>
      <c r="BH183" s="4">
        <f t="shared" si="183"/>
        <v>96.630919341205242</v>
      </c>
      <c r="BI183" s="386">
        <f t="shared" si="184"/>
        <v>1.5380496889054056</v>
      </c>
      <c r="BJ183" s="386">
        <f t="shared" si="185"/>
        <v>2.3442819522105967</v>
      </c>
      <c r="BK183" s="386">
        <f t="shared" si="186"/>
        <v>1.0181539388536902</v>
      </c>
      <c r="BL183" s="386">
        <f t="shared" si="187"/>
        <v>0.3667687304600426</v>
      </c>
    </row>
    <row r="184" spans="7:64" x14ac:dyDescent="0.2">
      <c r="G184">
        <v>175</v>
      </c>
      <c r="H184" s="610">
        <f t="shared" si="131"/>
        <v>32.25</v>
      </c>
      <c r="I184" s="4" t="str">
        <f t="shared" si="132"/>
        <v>BUCK</v>
      </c>
      <c r="J184">
        <f t="shared" si="170"/>
        <v>1</v>
      </c>
      <c r="K184">
        <f t="shared" si="133"/>
        <v>12</v>
      </c>
      <c r="L184" s="4">
        <f t="shared" si="134"/>
        <v>4.9612403100775193</v>
      </c>
      <c r="M184" s="4">
        <f t="shared" si="135"/>
        <v>12</v>
      </c>
      <c r="N184" s="386">
        <f t="shared" si="136"/>
        <v>0.37638863087497676</v>
      </c>
      <c r="O184" s="386">
        <f t="shared" si="172"/>
        <v>0</v>
      </c>
      <c r="P184" s="4">
        <f t="shared" si="137"/>
        <v>6.4519097616214944</v>
      </c>
      <c r="Q184" s="386">
        <f t="shared" si="138"/>
        <v>12.143678532375418</v>
      </c>
      <c r="R184" s="386">
        <f t="shared" si="173"/>
        <v>0.51434883619815319</v>
      </c>
      <c r="S184" s="386">
        <f t="shared" si="174"/>
        <v>1.0304454433150714</v>
      </c>
      <c r="T184" s="386">
        <f t="shared" si="175"/>
        <v>1.5447942795132246</v>
      </c>
      <c r="U184" s="4">
        <f t="shared" si="139"/>
        <v>1.8625059188296722</v>
      </c>
      <c r="V184" s="386">
        <f t="shared" si="176"/>
        <v>6.9378565953511235E-3</v>
      </c>
      <c r="W184" s="386">
        <f t="shared" si="177"/>
        <v>6.9378565953511235E-3</v>
      </c>
      <c r="X184" s="386">
        <f t="shared" si="140"/>
        <v>5.8833613421920496</v>
      </c>
      <c r="Y184" s="386">
        <f t="shared" si="178"/>
        <v>6.9227881365599667E-2</v>
      </c>
      <c r="Z184" s="603">
        <f t="shared" si="179"/>
        <v>6.9227881365599667E-2</v>
      </c>
      <c r="AA184" s="386">
        <f t="shared" si="141"/>
        <v>7.4502099311739007</v>
      </c>
      <c r="AB184" s="386">
        <f t="shared" si="142"/>
        <v>0.31638207970580468</v>
      </c>
      <c r="AC184" s="386">
        <f t="shared" si="143"/>
        <v>0.3311122159090909</v>
      </c>
      <c r="AD184">
        <f t="shared" si="144"/>
        <v>0</v>
      </c>
      <c r="AE184" s="386">
        <f t="shared" si="145"/>
        <v>0.69123304530168006</v>
      </c>
      <c r="AF184" s="386">
        <f t="shared" si="146"/>
        <v>9.5897497505989886</v>
      </c>
      <c r="AG184" s="386">
        <f t="shared" si="147"/>
        <v>0.52419081159094627</v>
      </c>
      <c r="AH184" s="386">
        <f t="shared" si="148"/>
        <v>0.24</v>
      </c>
      <c r="AI184" s="386">
        <f t="shared" si="149"/>
        <v>0.85369011437078401</v>
      </c>
      <c r="AJ184" s="386">
        <f t="shared" si="150"/>
        <v>0</v>
      </c>
      <c r="AK184" s="386">
        <f t="shared" si="151"/>
        <v>0</v>
      </c>
      <c r="AL184" s="386">
        <f t="shared" si="152"/>
        <v>0</v>
      </c>
      <c r="AM184">
        <f t="shared" si="153"/>
        <v>0</v>
      </c>
      <c r="AN184" s="386">
        <f t="shared" si="154"/>
        <v>0</v>
      </c>
      <c r="AO184" s="386">
        <f t="shared" si="155"/>
        <v>12.143678532375418</v>
      </c>
      <c r="AP184" s="386">
        <f t="shared" si="156"/>
        <v>0.28019096376558361</v>
      </c>
      <c r="AQ184" s="386">
        <f t="shared" si="157"/>
        <v>0</v>
      </c>
      <c r="AR184" s="386">
        <f t="shared" si="158"/>
        <v>0.2968244706666428</v>
      </c>
      <c r="AS184" s="386">
        <f t="shared" si="159"/>
        <v>0.28019096376558361</v>
      </c>
      <c r="AT184" s="386">
        <f t="shared" si="160"/>
        <v>0</v>
      </c>
      <c r="AU184" s="386">
        <f t="shared" si="161"/>
        <v>0.50686020000000009</v>
      </c>
      <c r="AV184" s="386">
        <f t="shared" si="162"/>
        <v>0.36785320111645348</v>
      </c>
      <c r="AW184" s="386">
        <f t="shared" si="163"/>
        <v>0.59328000000000003</v>
      </c>
      <c r="AX184" s="386">
        <f t="shared" si="164"/>
        <v>3.6000000000000004E-2</v>
      </c>
      <c r="AY184" s="386">
        <f t="shared" si="165"/>
        <v>6.6000000000000003E-2</v>
      </c>
      <c r="AZ184" s="386">
        <f t="shared" si="166"/>
        <v>4.3499999999999997E-2</v>
      </c>
      <c r="BA184" s="386">
        <f t="shared" si="180"/>
        <v>0.10200000000000001</v>
      </c>
      <c r="BB184" s="386">
        <f t="shared" si="181"/>
        <v>5.0327010489297361</v>
      </c>
      <c r="BC184">
        <f t="shared" si="167"/>
        <v>144</v>
      </c>
      <c r="BD184" s="604">
        <f t="shared" si="182"/>
        <v>0.96623089420302843</v>
      </c>
      <c r="BE184" s="614">
        <f t="shared" si="168"/>
        <v>59.904662265084006</v>
      </c>
      <c r="BF184" s="614">
        <f t="shared" si="169"/>
        <v>42.684505718539199</v>
      </c>
      <c r="BG184" s="9"/>
      <c r="BH184" s="4">
        <f t="shared" si="183"/>
        <v>96.623089420302847</v>
      </c>
      <c r="BI184" s="386">
        <f t="shared" si="184"/>
        <v>1.5447942795132246</v>
      </c>
      <c r="BJ184" s="386">
        <f t="shared" si="185"/>
        <v>2.3486078303391067</v>
      </c>
      <c r="BK184" s="386">
        <f t="shared" si="186"/>
        <v>1.0209539803707841</v>
      </c>
      <c r="BL184" s="386">
        <f t="shared" si="187"/>
        <v>0.36785320111645348</v>
      </c>
    </row>
    <row r="185" spans="7:64" x14ac:dyDescent="0.2">
      <c r="G185">
        <v>176</v>
      </c>
      <c r="H185" s="610">
        <f t="shared" si="131"/>
        <v>32.4</v>
      </c>
      <c r="I185" s="4" t="str">
        <f t="shared" si="132"/>
        <v>BUCK</v>
      </c>
      <c r="J185">
        <f t="shared" si="170"/>
        <v>1</v>
      </c>
      <c r="K185">
        <f t="shared" si="133"/>
        <v>12</v>
      </c>
      <c r="L185" s="4">
        <f t="shared" si="134"/>
        <v>4.9382716049382713</v>
      </c>
      <c r="M185" s="4">
        <f t="shared" si="135"/>
        <v>12</v>
      </c>
      <c r="N185" s="386">
        <f t="shared" si="136"/>
        <v>0.37464866863905322</v>
      </c>
      <c r="O185" s="386">
        <f t="shared" si="172"/>
        <v>0</v>
      </c>
      <c r="P185" s="4">
        <f t="shared" si="137"/>
        <v>6.469911484955305</v>
      </c>
      <c r="Q185" s="386">
        <f t="shared" si="138"/>
        <v>12.144476641060455</v>
      </c>
      <c r="R185" s="386">
        <f t="shared" si="173"/>
        <v>0.51441922905360404</v>
      </c>
      <c r="S185" s="386">
        <f t="shared" si="174"/>
        <v>1.0370816948205759</v>
      </c>
      <c r="T185" s="386">
        <f t="shared" si="175"/>
        <v>1.5515009238741799</v>
      </c>
      <c r="U185" s="4">
        <f t="shared" si="139"/>
        <v>1.8677025687359985</v>
      </c>
      <c r="V185" s="386">
        <f t="shared" si="176"/>
        <v>6.9766257705260945E-3</v>
      </c>
      <c r="W185" s="386">
        <f t="shared" si="177"/>
        <v>6.9766257705260945E-3</v>
      </c>
      <c r="X185" s="386">
        <f t="shared" si="140"/>
        <v>5.878316154310621</v>
      </c>
      <c r="Y185" s="386">
        <f t="shared" si="178"/>
        <v>6.9109201620058416E-2</v>
      </c>
      <c r="Z185" s="603">
        <f t="shared" si="179"/>
        <v>6.9109201620058416E-2</v>
      </c>
      <c r="AA185" s="386">
        <f t="shared" si="141"/>
        <v>7.4334581496288736</v>
      </c>
      <c r="AB185" s="386">
        <f t="shared" si="142"/>
        <v>0.31496091035501833</v>
      </c>
      <c r="AC185" s="386">
        <f t="shared" si="143"/>
        <v>0.33265227272727266</v>
      </c>
      <c r="AD185">
        <f t="shared" si="144"/>
        <v>0</v>
      </c>
      <c r="AE185" s="386">
        <f t="shared" si="145"/>
        <v>0.69115024516408585</v>
      </c>
      <c r="AF185" s="386">
        <f t="shared" si="146"/>
        <v>9.6037499354668299</v>
      </c>
      <c r="AG185" s="386">
        <f t="shared" si="147"/>
        <v>0.52572247309098119</v>
      </c>
      <c r="AH185" s="386">
        <f t="shared" si="148"/>
        <v>0.24</v>
      </c>
      <c r="AI185" s="386">
        <f t="shared" si="149"/>
        <v>0.85569398465540414</v>
      </c>
      <c r="AJ185" s="386">
        <f t="shared" si="150"/>
        <v>0</v>
      </c>
      <c r="AK185" s="386">
        <f t="shared" si="151"/>
        <v>0</v>
      </c>
      <c r="AL185" s="386">
        <f t="shared" si="152"/>
        <v>0</v>
      </c>
      <c r="AM185">
        <f t="shared" si="153"/>
        <v>0</v>
      </c>
      <c r="AN185" s="386">
        <f t="shared" si="154"/>
        <v>0</v>
      </c>
      <c r="AO185" s="386">
        <f t="shared" si="155"/>
        <v>12.144476641060455</v>
      </c>
      <c r="AP185" s="386">
        <f t="shared" si="156"/>
        <v>0.2802277944819998</v>
      </c>
      <c r="AQ185" s="386">
        <f t="shared" si="157"/>
        <v>0</v>
      </c>
      <c r="AR185" s="386">
        <f t="shared" si="158"/>
        <v>0.29686580440723248</v>
      </c>
      <c r="AS185" s="386">
        <f t="shared" si="159"/>
        <v>0.2802277944819998</v>
      </c>
      <c r="AT185" s="386">
        <f t="shared" si="160"/>
        <v>0</v>
      </c>
      <c r="AU185" s="386">
        <f t="shared" si="161"/>
        <v>0.50922270000000003</v>
      </c>
      <c r="AV185" s="386">
        <f t="shared" si="162"/>
        <v>0.36892805129191658</v>
      </c>
      <c r="AW185" s="386">
        <f t="shared" si="163"/>
        <v>0.59328000000000003</v>
      </c>
      <c r="AX185" s="386">
        <f t="shared" si="164"/>
        <v>3.6000000000000004E-2</v>
      </c>
      <c r="AY185" s="386">
        <f t="shared" si="165"/>
        <v>6.6000000000000003E-2</v>
      </c>
      <c r="AZ185" s="386">
        <f t="shared" si="166"/>
        <v>4.3499999999999997E-2</v>
      </c>
      <c r="BA185" s="386">
        <f t="shared" si="180"/>
        <v>0.10200000000000001</v>
      </c>
      <c r="BB185" s="386">
        <f t="shared" si="181"/>
        <v>5.0447275367834044</v>
      </c>
      <c r="BC185">
        <f t="shared" si="167"/>
        <v>144</v>
      </c>
      <c r="BD185" s="604">
        <f t="shared" si="182"/>
        <v>0.96615292858623003</v>
      </c>
      <c r="BE185" s="614">
        <f t="shared" si="168"/>
        <v>60.018647258204297</v>
      </c>
      <c r="BF185" s="614">
        <f t="shared" si="169"/>
        <v>42.784699232770208</v>
      </c>
      <c r="BG185" s="9"/>
      <c r="BH185" s="4">
        <f t="shared" si="183"/>
        <v>96.615292858623008</v>
      </c>
      <c r="BI185" s="386">
        <f t="shared" si="184"/>
        <v>1.5515009238741799</v>
      </c>
      <c r="BJ185" s="386">
        <f t="shared" si="185"/>
        <v>2.3529327342267226</v>
      </c>
      <c r="BK185" s="386">
        <f t="shared" si="186"/>
        <v>1.0237374756554041</v>
      </c>
      <c r="BL185" s="386">
        <f t="shared" si="187"/>
        <v>0.36892805129191658</v>
      </c>
    </row>
    <row r="186" spans="7:64" x14ac:dyDescent="0.2">
      <c r="G186">
        <v>177</v>
      </c>
      <c r="H186" s="610">
        <f t="shared" si="131"/>
        <v>32.549999999999997</v>
      </c>
      <c r="I186" s="4" t="str">
        <f t="shared" si="132"/>
        <v>BUCK</v>
      </c>
      <c r="J186">
        <f t="shared" si="170"/>
        <v>1</v>
      </c>
      <c r="K186">
        <f t="shared" si="133"/>
        <v>12</v>
      </c>
      <c r="L186" s="4">
        <f t="shared" si="134"/>
        <v>4.9155145929339481</v>
      </c>
      <c r="M186" s="4">
        <f t="shared" si="135"/>
        <v>12</v>
      </c>
      <c r="N186" s="386">
        <f t="shared" si="136"/>
        <v>0.37292471930793297</v>
      </c>
      <c r="O186" s="386">
        <f t="shared" si="172"/>
        <v>0</v>
      </c>
      <c r="P186" s="4">
        <f t="shared" si="137"/>
        <v>6.4877475380946201</v>
      </c>
      <c r="Q186" s="386">
        <f t="shared" si="138"/>
        <v>12.14526954592491</v>
      </c>
      <c r="R186" s="386">
        <f t="shared" si="173"/>
        <v>0.51448916826944291</v>
      </c>
      <c r="S186" s="386">
        <f t="shared" si="174"/>
        <v>1.0436806622623056</v>
      </c>
      <c r="T186" s="386">
        <f t="shared" si="175"/>
        <v>1.5581698305317486</v>
      </c>
      <c r="U186" s="4">
        <f t="shared" si="139"/>
        <v>1.8728513937766305</v>
      </c>
      <c r="V186" s="386">
        <f t="shared" si="176"/>
        <v>7.0151446863421342E-3</v>
      </c>
      <c r="W186" s="386">
        <f t="shared" si="177"/>
        <v>7.0151446863421342E-3</v>
      </c>
      <c r="X186" s="386">
        <f t="shared" si="140"/>
        <v>5.8732377850378326</v>
      </c>
      <c r="Y186" s="386">
        <f t="shared" si="178"/>
        <v>6.8989844159192223E-2</v>
      </c>
      <c r="Z186" s="603">
        <f t="shared" si="179"/>
        <v>6.8989844159192223E-2</v>
      </c>
      <c r="AA186" s="386">
        <f t="shared" si="141"/>
        <v>7.4168200741201531</v>
      </c>
      <c r="AB186" s="386">
        <f t="shared" si="142"/>
        <v>0.31355255406766858</v>
      </c>
      <c r="AC186" s="386">
        <f t="shared" si="143"/>
        <v>0.33419232954545447</v>
      </c>
      <c r="AD186">
        <f t="shared" si="144"/>
        <v>0</v>
      </c>
      <c r="AE186" s="386">
        <f t="shared" si="145"/>
        <v>0.69108305500720202</v>
      </c>
      <c r="AF186" s="386">
        <f t="shared" si="146"/>
        <v>9.617606372237292</v>
      </c>
      <c r="AG186" s="386">
        <f t="shared" si="147"/>
        <v>0.52724060828840635</v>
      </c>
      <c r="AH186" s="386">
        <f t="shared" si="148"/>
        <v>0.24</v>
      </c>
      <c r="AI186" s="386">
        <f t="shared" si="149"/>
        <v>0.85768151279294047</v>
      </c>
      <c r="AJ186" s="386">
        <f t="shared" si="150"/>
        <v>0</v>
      </c>
      <c r="AK186" s="386">
        <f t="shared" si="151"/>
        <v>0</v>
      </c>
      <c r="AL186" s="386">
        <f t="shared" si="152"/>
        <v>0</v>
      </c>
      <c r="AM186">
        <f t="shared" si="153"/>
        <v>0</v>
      </c>
      <c r="AN186" s="386">
        <f t="shared" si="154"/>
        <v>0</v>
      </c>
      <c r="AO186" s="386">
        <f t="shared" si="155"/>
        <v>12.14526954592491</v>
      </c>
      <c r="AP186" s="386">
        <f t="shared" si="156"/>
        <v>0.28026438745202503</v>
      </c>
      <c r="AQ186" s="386">
        <f t="shared" si="157"/>
        <v>0</v>
      </c>
      <c r="AR186" s="386">
        <f t="shared" si="158"/>
        <v>0.29690687197277432</v>
      </c>
      <c r="AS186" s="386">
        <f t="shared" si="159"/>
        <v>0.28026438745202503</v>
      </c>
      <c r="AT186" s="386">
        <f t="shared" si="160"/>
        <v>0</v>
      </c>
      <c r="AU186" s="386">
        <f t="shared" si="161"/>
        <v>0.51158519999999996</v>
      </c>
      <c r="AV186" s="386">
        <f t="shared" si="162"/>
        <v>0.36999340932519742</v>
      </c>
      <c r="AW186" s="386">
        <f t="shared" si="163"/>
        <v>0.59328000000000003</v>
      </c>
      <c r="AX186" s="386">
        <f t="shared" si="164"/>
        <v>3.6000000000000004E-2</v>
      </c>
      <c r="AY186" s="386">
        <f t="shared" si="165"/>
        <v>6.6000000000000003E-2</v>
      </c>
      <c r="AZ186" s="386">
        <f t="shared" si="166"/>
        <v>4.3499999999999997E-2</v>
      </c>
      <c r="BA186" s="386">
        <f t="shared" si="180"/>
        <v>0.10200000000000001</v>
      </c>
      <c r="BB186" s="386">
        <f t="shared" si="181"/>
        <v>5.0567048684753981</v>
      </c>
      <c r="BC186">
        <f t="shared" si="167"/>
        <v>144</v>
      </c>
      <c r="BD186" s="604">
        <f t="shared" si="182"/>
        <v>0.96607529414435034</v>
      </c>
      <c r="BE186" s="614">
        <f t="shared" si="168"/>
        <v>60.133412750360108</v>
      </c>
      <c r="BF186" s="614">
        <f t="shared" si="169"/>
        <v>42.884075639647023</v>
      </c>
      <c r="BG186" s="9"/>
      <c r="BH186" s="4">
        <f t="shared" si="183"/>
        <v>96.607529414435035</v>
      </c>
      <c r="BI186" s="386">
        <f t="shared" si="184"/>
        <v>1.5581698305317486</v>
      </c>
      <c r="BJ186" s="386">
        <f t="shared" si="185"/>
        <v>2.3572566397729169</v>
      </c>
      <c r="BK186" s="386">
        <f t="shared" si="186"/>
        <v>1.0265046287929405</v>
      </c>
      <c r="BL186" s="386">
        <f t="shared" si="187"/>
        <v>0.36999340932519742</v>
      </c>
    </row>
    <row r="187" spans="7:64" x14ac:dyDescent="0.2">
      <c r="G187">
        <v>178</v>
      </c>
      <c r="H187" s="610">
        <f t="shared" si="131"/>
        <v>32.700000000000003</v>
      </c>
      <c r="I187" s="4" t="str">
        <f t="shared" si="132"/>
        <v>BUCK</v>
      </c>
      <c r="J187">
        <f t="shared" si="170"/>
        <v>1</v>
      </c>
      <c r="K187">
        <f t="shared" si="133"/>
        <v>12</v>
      </c>
      <c r="L187" s="4">
        <f t="shared" si="134"/>
        <v>4.8929663608562688</v>
      </c>
      <c r="M187" s="4">
        <f t="shared" si="135"/>
        <v>12</v>
      </c>
      <c r="N187" s="386">
        <f t="shared" si="136"/>
        <v>0.37121656284353233</v>
      </c>
      <c r="O187" s="386">
        <f t="shared" si="172"/>
        <v>0</v>
      </c>
      <c r="P187" s="4">
        <f t="shared" si="137"/>
        <v>6.5054201975628185</v>
      </c>
      <c r="Q187" s="386">
        <f t="shared" si="138"/>
        <v>12.146057288776394</v>
      </c>
      <c r="R187" s="386">
        <f t="shared" si="173"/>
        <v>0.51455865742924067</v>
      </c>
      <c r="S187" s="386">
        <f t="shared" si="174"/>
        <v>1.050242552125916</v>
      </c>
      <c r="T187" s="386">
        <f t="shared" si="175"/>
        <v>1.5648012095551567</v>
      </c>
      <c r="U187" s="4">
        <f t="shared" si="139"/>
        <v>1.8779530511272609</v>
      </c>
      <c r="V187" s="386">
        <f t="shared" si="176"/>
        <v>7.0534153244763767E-3</v>
      </c>
      <c r="W187" s="386">
        <f t="shared" si="177"/>
        <v>7.0534153244763767E-3</v>
      </c>
      <c r="X187" s="386">
        <f t="shared" si="140"/>
        <v>5.8681275417020444</v>
      </c>
      <c r="Y187" s="386">
        <f t="shared" si="178"/>
        <v>6.8869841691364161E-2</v>
      </c>
      <c r="Z187" s="603">
        <f t="shared" si="179"/>
        <v>6.8869841691364161E-2</v>
      </c>
      <c r="AA187" s="386">
        <f t="shared" si="141"/>
        <v>7.4002944094136325</v>
      </c>
      <c r="AB187" s="386">
        <f t="shared" si="142"/>
        <v>0.31215683687219237</v>
      </c>
      <c r="AC187" s="386">
        <f t="shared" si="143"/>
        <v>0.33573238636363639</v>
      </c>
      <c r="AD187">
        <f t="shared" si="144"/>
        <v>0</v>
      </c>
      <c r="AE187" s="386">
        <f t="shared" si="145"/>
        <v>0.69103124900998836</v>
      </c>
      <c r="AF187" s="386">
        <f t="shared" si="146"/>
        <v>9.6313213172565</v>
      </c>
      <c r="AG187" s="386">
        <f t="shared" si="147"/>
        <v>0.52874539680256505</v>
      </c>
      <c r="AH187" s="386">
        <f t="shared" si="148"/>
        <v>0.24</v>
      </c>
      <c r="AI187" s="386">
        <f t="shared" si="149"/>
        <v>0.8596528994936099</v>
      </c>
      <c r="AJ187" s="386">
        <f t="shared" si="150"/>
        <v>0</v>
      </c>
      <c r="AK187" s="386">
        <f t="shared" si="151"/>
        <v>0</v>
      </c>
      <c r="AL187" s="386">
        <f t="shared" si="152"/>
        <v>0</v>
      </c>
      <c r="AM187">
        <f t="shared" si="153"/>
        <v>0</v>
      </c>
      <c r="AN187" s="386">
        <f t="shared" si="154"/>
        <v>0</v>
      </c>
      <c r="AO187" s="386">
        <f t="shared" si="155"/>
        <v>12.146057288776394</v>
      </c>
      <c r="AP187" s="386">
        <f t="shared" si="156"/>
        <v>0.28030074455825249</v>
      </c>
      <c r="AQ187" s="386">
        <f t="shared" si="157"/>
        <v>0</v>
      </c>
      <c r="AR187" s="386">
        <f t="shared" si="158"/>
        <v>0.29694767546371692</v>
      </c>
      <c r="AS187" s="386">
        <f t="shared" si="159"/>
        <v>0.28030074455825249</v>
      </c>
      <c r="AT187" s="386">
        <f t="shared" si="160"/>
        <v>0</v>
      </c>
      <c r="AU187" s="386">
        <f t="shared" si="161"/>
        <v>0.51394770000000012</v>
      </c>
      <c r="AV187" s="386">
        <f t="shared" si="162"/>
        <v>0.37104940126495789</v>
      </c>
      <c r="AW187" s="386">
        <f t="shared" si="163"/>
        <v>0.59328000000000003</v>
      </c>
      <c r="AX187" s="386">
        <f t="shared" si="164"/>
        <v>3.6000000000000004E-2</v>
      </c>
      <c r="AY187" s="386">
        <f t="shared" si="165"/>
        <v>6.6000000000000003E-2</v>
      </c>
      <c r="AZ187" s="386">
        <f t="shared" si="166"/>
        <v>4.3499999999999997E-2</v>
      </c>
      <c r="BA187" s="386">
        <f t="shared" si="180"/>
        <v>0.10200000000000001</v>
      </c>
      <c r="BB187" s="386">
        <f t="shared" si="181"/>
        <v>5.0686333918032709</v>
      </c>
      <c r="BC187">
        <f t="shared" si="167"/>
        <v>144</v>
      </c>
      <c r="BD187" s="604">
        <f t="shared" si="182"/>
        <v>0.9659979884669555</v>
      </c>
      <c r="BE187" s="614">
        <f t="shared" si="168"/>
        <v>60.248947450499422</v>
      </c>
      <c r="BF187" s="614">
        <f t="shared" si="169"/>
        <v>42.982644974680497</v>
      </c>
      <c r="BG187" s="9"/>
      <c r="BH187" s="4">
        <f t="shared" si="183"/>
        <v>96.599798846695549</v>
      </c>
      <c r="BI187" s="386">
        <f t="shared" si="184"/>
        <v>1.5648012095551567</v>
      </c>
      <c r="BJ187" s="386">
        <f t="shared" si="185"/>
        <v>2.3615795239673152</v>
      </c>
      <c r="BK187" s="386">
        <f t="shared" si="186"/>
        <v>1.02925564049361</v>
      </c>
      <c r="BL187" s="386">
        <f t="shared" si="187"/>
        <v>0.37104940126495789</v>
      </c>
    </row>
    <row r="188" spans="7:64" x14ac:dyDescent="0.2">
      <c r="G188">
        <v>179</v>
      </c>
      <c r="H188" s="610">
        <f t="shared" si="131"/>
        <v>32.85</v>
      </c>
      <c r="I188" s="4" t="str">
        <f t="shared" si="132"/>
        <v>BUCK</v>
      </c>
      <c r="J188">
        <f t="shared" si="170"/>
        <v>1</v>
      </c>
      <c r="K188">
        <f t="shared" si="133"/>
        <v>12</v>
      </c>
      <c r="L188" s="4">
        <f t="shared" si="134"/>
        <v>4.8706240487062402</v>
      </c>
      <c r="M188" s="4">
        <f t="shared" si="135"/>
        <v>12</v>
      </c>
      <c r="N188" s="386">
        <f t="shared" si="136"/>
        <v>0.36952398322086444</v>
      </c>
      <c r="O188" s="386">
        <f t="shared" si="172"/>
        <v>0</v>
      </c>
      <c r="P188" s="4">
        <f t="shared" si="137"/>
        <v>6.5229316983636059</v>
      </c>
      <c r="Q188" s="386">
        <f t="shared" si="138"/>
        <v>12.146839911205701</v>
      </c>
      <c r="R188" s="386">
        <f t="shared" si="173"/>
        <v>0.51462770009922787</v>
      </c>
      <c r="S188" s="386">
        <f t="shared" si="174"/>
        <v>1.0567675722941634</v>
      </c>
      <c r="T188" s="386">
        <f t="shared" si="175"/>
        <v>1.5713952723933913</v>
      </c>
      <c r="U188" s="4">
        <f t="shared" si="139"/>
        <v>1.8830081859778853</v>
      </c>
      <c r="V188" s="386">
        <f t="shared" si="176"/>
        <v>7.0914396569194526E-3</v>
      </c>
      <c r="W188" s="386">
        <f t="shared" si="177"/>
        <v>7.0914396569194526E-3</v>
      </c>
      <c r="X188" s="386">
        <f t="shared" si="140"/>
        <v>5.8629866925802219</v>
      </c>
      <c r="Y188" s="386">
        <f t="shared" si="178"/>
        <v>6.874922591474554E-2</v>
      </c>
      <c r="Z188" s="603">
        <f t="shared" si="179"/>
        <v>6.874922591474554E-2</v>
      </c>
      <c r="AA188" s="386">
        <f t="shared" si="141"/>
        <v>7.3838798810789257</v>
      </c>
      <c r="AB188" s="386">
        <f t="shared" si="142"/>
        <v>0.31077358795975213</v>
      </c>
      <c r="AC188" s="386">
        <f t="shared" si="143"/>
        <v>0.3372724431818182</v>
      </c>
      <c r="AD188">
        <f t="shared" si="144"/>
        <v>0</v>
      </c>
      <c r="AE188" s="386">
        <f t="shared" si="145"/>
        <v>0.69099460571750293</v>
      </c>
      <c r="AF188" s="386">
        <f t="shared" si="146"/>
        <v>9.6448969787270205</v>
      </c>
      <c r="AG188" s="386">
        <f t="shared" si="147"/>
        <v>0.53023701506246834</v>
      </c>
      <c r="AH188" s="386">
        <f t="shared" si="148"/>
        <v>0.24</v>
      </c>
      <c r="AI188" s="386">
        <f t="shared" si="149"/>
        <v>0.86160834216272542</v>
      </c>
      <c r="AJ188" s="386">
        <f t="shared" si="150"/>
        <v>0</v>
      </c>
      <c r="AK188" s="386">
        <f t="shared" si="151"/>
        <v>0</v>
      </c>
      <c r="AL188" s="386">
        <f t="shared" si="152"/>
        <v>0</v>
      </c>
      <c r="AM188">
        <f t="shared" si="153"/>
        <v>0</v>
      </c>
      <c r="AN188" s="386">
        <f t="shared" si="154"/>
        <v>0</v>
      </c>
      <c r="AO188" s="386">
        <f t="shared" si="155"/>
        <v>12.146839911205701</v>
      </c>
      <c r="AP188" s="386">
        <f t="shared" si="156"/>
        <v>0.28033686767407345</v>
      </c>
      <c r="AQ188" s="386">
        <f t="shared" si="157"/>
        <v>0</v>
      </c>
      <c r="AR188" s="386">
        <f t="shared" si="158"/>
        <v>0.29698821697039096</v>
      </c>
      <c r="AS188" s="386">
        <f t="shared" si="159"/>
        <v>0.28033686767407345</v>
      </c>
      <c r="AT188" s="386">
        <f t="shared" si="160"/>
        <v>0</v>
      </c>
      <c r="AU188" s="386">
        <f t="shared" si="161"/>
        <v>0.51631020000000005</v>
      </c>
      <c r="AV188" s="386">
        <f t="shared" si="162"/>
        <v>0.37209615092103043</v>
      </c>
      <c r="AW188" s="386">
        <f t="shared" si="163"/>
        <v>0.59328000000000003</v>
      </c>
      <c r="AX188" s="386">
        <f t="shared" si="164"/>
        <v>3.6000000000000004E-2</v>
      </c>
      <c r="AY188" s="386">
        <f t="shared" si="165"/>
        <v>6.6000000000000003E-2</v>
      </c>
      <c r="AZ188" s="386">
        <f t="shared" si="166"/>
        <v>4.3499999999999997E-2</v>
      </c>
      <c r="BA188" s="386">
        <f t="shared" si="180"/>
        <v>0.10200000000000001</v>
      </c>
      <c r="BB188" s="386">
        <f t="shared" si="181"/>
        <v>5.0805134537367067</v>
      </c>
      <c r="BC188">
        <f t="shared" si="167"/>
        <v>144</v>
      </c>
      <c r="BD188" s="604">
        <f t="shared" si="182"/>
        <v>0.96592100915111678</v>
      </c>
      <c r="BE188" s="614">
        <f t="shared" si="168"/>
        <v>60.365240285875153</v>
      </c>
      <c r="BF188" s="614">
        <f t="shared" si="169"/>
        <v>43.080417108136274</v>
      </c>
      <c r="BG188" s="9"/>
      <c r="BH188" s="4">
        <f t="shared" si="183"/>
        <v>96.592100915111672</v>
      </c>
      <c r="BI188" s="386">
        <f t="shared" si="184"/>
        <v>1.5713952723933913</v>
      </c>
      <c r="BJ188" s="386">
        <f t="shared" si="185"/>
        <v>2.3659013648506195</v>
      </c>
      <c r="BK188" s="386">
        <f t="shared" si="186"/>
        <v>1.0319907081627255</v>
      </c>
      <c r="BL188" s="386">
        <f t="shared" si="187"/>
        <v>0.37209615092103043</v>
      </c>
    </row>
    <row r="189" spans="7:64" x14ac:dyDescent="0.2">
      <c r="G189">
        <v>180</v>
      </c>
      <c r="H189" s="610">
        <f t="shared" si="131"/>
        <v>33</v>
      </c>
      <c r="I189" s="4" t="str">
        <f t="shared" si="132"/>
        <v>BUCK</v>
      </c>
      <c r="J189">
        <f t="shared" si="170"/>
        <v>1</v>
      </c>
      <c r="K189">
        <f t="shared" si="133"/>
        <v>12</v>
      </c>
      <c r="L189" s="4">
        <f t="shared" si="134"/>
        <v>4.8484848484848486</v>
      </c>
      <c r="M189" s="4">
        <f t="shared" si="135"/>
        <v>12</v>
      </c>
      <c r="N189" s="386">
        <f t="shared" si="136"/>
        <v>0.36784676833696439</v>
      </c>
      <c r="O189" s="386">
        <f t="shared" si="172"/>
        <v>0</v>
      </c>
      <c r="P189" s="4">
        <f t="shared" si="137"/>
        <v>6.5402842349232824</v>
      </c>
      <c r="Q189" s="386">
        <f t="shared" si="138"/>
        <v>12.147617454579265</v>
      </c>
      <c r="R189" s="386">
        <f t="shared" si="173"/>
        <v>0.51469629982760412</v>
      </c>
      <c r="S189" s="386">
        <f t="shared" si="174"/>
        <v>1.0632559319082948</v>
      </c>
      <c r="T189" s="386">
        <f t="shared" si="175"/>
        <v>1.5779522317358989</v>
      </c>
      <c r="U189" s="4">
        <f t="shared" si="139"/>
        <v>1.8880174318048115</v>
      </c>
      <c r="V189" s="386">
        <f t="shared" si="176"/>
        <v>7.1292196455976726E-3</v>
      </c>
      <c r="W189" s="386">
        <f t="shared" si="177"/>
        <v>7.1292196455976726E-3</v>
      </c>
      <c r="X189" s="386">
        <f t="shared" si="140"/>
        <v>5.8578164681653062</v>
      </c>
      <c r="Y189" s="386">
        <f t="shared" si="178"/>
        <v>6.8628027549417325E-2</v>
      </c>
      <c r="Z189" s="603">
        <f t="shared" si="179"/>
        <v>6.8628027549417325E-2</v>
      </c>
      <c r="AA189" s="386">
        <f t="shared" si="141"/>
        <v>7.3675752350567567</v>
      </c>
      <c r="AB189" s="386">
        <f t="shared" si="142"/>
        <v>0.30940263961206327</v>
      </c>
      <c r="AC189" s="386">
        <f t="shared" si="143"/>
        <v>0.33881249999999996</v>
      </c>
      <c r="AD189">
        <f t="shared" si="144"/>
        <v>0</v>
      </c>
      <c r="AE189" s="386">
        <f t="shared" si="145"/>
        <v>0.69097290793517652</v>
      </c>
      <c r="AF189" s="386">
        <f t="shared" si="146"/>
        <v>9.6583355180164041</v>
      </c>
      <c r="AG189" s="386">
        <f t="shared" si="147"/>
        <v>0.5317156363778901</v>
      </c>
      <c r="AH189" s="386">
        <f t="shared" si="148"/>
        <v>0.24</v>
      </c>
      <c r="AI189" s="386">
        <f t="shared" si="149"/>
        <v>0.86354803496919441</v>
      </c>
      <c r="AJ189" s="386">
        <f t="shared" si="150"/>
        <v>0</v>
      </c>
      <c r="AK189" s="386">
        <f t="shared" si="151"/>
        <v>0</v>
      </c>
      <c r="AL189" s="386">
        <f t="shared" si="152"/>
        <v>0</v>
      </c>
      <c r="AM189">
        <f t="shared" si="153"/>
        <v>0</v>
      </c>
      <c r="AN189" s="386">
        <f t="shared" si="154"/>
        <v>0</v>
      </c>
      <c r="AO189" s="386">
        <f t="shared" si="155"/>
        <v>12.147617454579265</v>
      </c>
      <c r="AP189" s="386">
        <f t="shared" si="156"/>
        <v>0.28037275866331773</v>
      </c>
      <c r="AQ189" s="386">
        <f t="shared" si="157"/>
        <v>0</v>
      </c>
      <c r="AR189" s="386">
        <f t="shared" si="158"/>
        <v>0.2970284985726025</v>
      </c>
      <c r="AS189" s="386">
        <f t="shared" si="159"/>
        <v>0.28037275866331773</v>
      </c>
      <c r="AT189" s="386">
        <f t="shared" si="160"/>
        <v>0</v>
      </c>
      <c r="AU189" s="386">
        <f t="shared" si="161"/>
        <v>0.5186727000000001</v>
      </c>
      <c r="AV189" s="386">
        <f t="shared" si="162"/>
        <v>0.37313377991430885</v>
      </c>
      <c r="AW189" s="386">
        <f t="shared" si="163"/>
        <v>0.59328000000000003</v>
      </c>
      <c r="AX189" s="386">
        <f t="shared" si="164"/>
        <v>3.6000000000000004E-2</v>
      </c>
      <c r="AY189" s="386">
        <f t="shared" si="165"/>
        <v>6.6000000000000003E-2</v>
      </c>
      <c r="AZ189" s="386">
        <f t="shared" si="166"/>
        <v>4.3499999999999997E-2</v>
      </c>
      <c r="BA189" s="386">
        <f t="shared" si="180"/>
        <v>0.10200000000000001</v>
      </c>
      <c r="BB189" s="386">
        <f t="shared" si="181"/>
        <v>5.0923454003221966</v>
      </c>
      <c r="BC189">
        <f t="shared" si="167"/>
        <v>144</v>
      </c>
      <c r="BD189" s="604">
        <f t="shared" si="182"/>
        <v>0.96584435380200828</v>
      </c>
      <c r="BE189" s="614">
        <f t="shared" si="168"/>
        <v>60.482280396758824</v>
      </c>
      <c r="BF189" s="614">
        <f t="shared" si="169"/>
        <v>43.177401748459722</v>
      </c>
      <c r="BG189" s="9"/>
      <c r="BH189" s="4">
        <f t="shared" si="183"/>
        <v>96.58443538020083</v>
      </c>
      <c r="BI189" s="386">
        <f t="shared" si="184"/>
        <v>1.5779522317358989</v>
      </c>
      <c r="BJ189" s="386">
        <f t="shared" si="185"/>
        <v>2.3702221414769737</v>
      </c>
      <c r="BK189" s="386">
        <f t="shared" si="186"/>
        <v>1.0347100259691944</v>
      </c>
      <c r="BL189" s="386">
        <f t="shared" si="187"/>
        <v>0.37313377991430885</v>
      </c>
    </row>
    <row r="190" spans="7:64" x14ac:dyDescent="0.2">
      <c r="G190">
        <v>181</v>
      </c>
      <c r="H190" s="610">
        <f t="shared" si="131"/>
        <v>33.150000000000006</v>
      </c>
      <c r="I190" s="4" t="str">
        <f t="shared" si="132"/>
        <v>BUCK</v>
      </c>
      <c r="J190">
        <f t="shared" si="170"/>
        <v>1</v>
      </c>
      <c r="K190">
        <f t="shared" si="133"/>
        <v>12</v>
      </c>
      <c r="L190" s="4">
        <f t="shared" si="134"/>
        <v>4.826546003016591</v>
      </c>
      <c r="M190" s="4">
        <f t="shared" si="135"/>
        <v>12</v>
      </c>
      <c r="N190" s="386">
        <f t="shared" si="136"/>
        <v>0.36618470992228436</v>
      </c>
      <c r="O190" s="386">
        <f t="shared" si="172"/>
        <v>0</v>
      </c>
      <c r="P190" s="4">
        <f t="shared" si="137"/>
        <v>6.5574799620074504</v>
      </c>
      <c r="Q190" s="386">
        <f t="shared" si="138"/>
        <v>12.148389960032185</v>
      </c>
      <c r="R190" s="386">
        <f t="shared" si="173"/>
        <v>0.51476446014389754</v>
      </c>
      <c r="S190" s="386">
        <f t="shared" si="174"/>
        <v>1.0697078412357905</v>
      </c>
      <c r="T190" s="386">
        <f t="shared" si="175"/>
        <v>1.5844723013796882</v>
      </c>
      <c r="U190" s="4">
        <f t="shared" si="139"/>
        <v>1.8929814106352894</v>
      </c>
      <c r="V190" s="386">
        <f t="shared" si="176"/>
        <v>7.1667572420215401E-3</v>
      </c>
      <c r="W190" s="386">
        <f t="shared" si="177"/>
        <v>7.1667572420215401E-3</v>
      </c>
      <c r="X190" s="386">
        <f t="shared" si="140"/>
        <v>5.8526180623869717</v>
      </c>
      <c r="Y190" s="386">
        <f t="shared" si="178"/>
        <v>6.8506276368356475E-2</v>
      </c>
      <c r="Z190" s="603">
        <f t="shared" si="179"/>
        <v>6.8506276368356475E-2</v>
      </c>
      <c r="AA190" s="386">
        <f t="shared" si="141"/>
        <v>7.3513792372374249</v>
      </c>
      <c r="AB190" s="386">
        <f t="shared" si="142"/>
        <v>0.30804382713120737</v>
      </c>
      <c r="AC190" s="386">
        <f t="shared" si="143"/>
        <v>0.34035255681818183</v>
      </c>
      <c r="AD190">
        <f t="shared" si="144"/>
        <v>0</v>
      </c>
      <c r="AE190" s="386">
        <f t="shared" si="145"/>
        <v>0.69096594262616651</v>
      </c>
      <c r="AF190" s="386">
        <f t="shared" si="146"/>
        <v>9.6716390509223054</v>
      </c>
      <c r="AG190" s="386">
        <f t="shared" si="147"/>
        <v>0.53318143100855431</v>
      </c>
      <c r="AH190" s="386">
        <f t="shared" si="148"/>
        <v>0.24</v>
      </c>
      <c r="AI190" s="386">
        <f t="shared" si="149"/>
        <v>0.86547216891230194</v>
      </c>
      <c r="AJ190" s="386">
        <f t="shared" si="150"/>
        <v>0</v>
      </c>
      <c r="AK190" s="386">
        <f t="shared" si="151"/>
        <v>0</v>
      </c>
      <c r="AL190" s="386">
        <f t="shared" si="152"/>
        <v>0</v>
      </c>
      <c r="AM190">
        <f t="shared" si="153"/>
        <v>0</v>
      </c>
      <c r="AN190" s="386">
        <f t="shared" si="154"/>
        <v>0</v>
      </c>
      <c r="AO190" s="386">
        <f t="shared" si="155"/>
        <v>12.148389960032185</v>
      </c>
      <c r="AP190" s="386">
        <f t="shared" si="156"/>
        <v>0.28040841937992056</v>
      </c>
      <c r="AQ190" s="386">
        <f t="shared" si="157"/>
        <v>0</v>
      </c>
      <c r="AR190" s="386">
        <f t="shared" si="158"/>
        <v>0.29706852233925646</v>
      </c>
      <c r="AS190" s="386">
        <f t="shared" si="159"/>
        <v>0.28040841937992056</v>
      </c>
      <c r="AT190" s="386">
        <f t="shared" si="160"/>
        <v>0</v>
      </c>
      <c r="AU190" s="386">
        <f t="shared" si="161"/>
        <v>0.52103520000000014</v>
      </c>
      <c r="AV190" s="386">
        <f t="shared" si="162"/>
        <v>0.37416240772530124</v>
      </c>
      <c r="AW190" s="386">
        <f t="shared" si="163"/>
        <v>0.59328000000000003</v>
      </c>
      <c r="AX190" s="386">
        <f t="shared" si="164"/>
        <v>3.6000000000000004E-2</v>
      </c>
      <c r="AY190" s="386">
        <f t="shared" si="165"/>
        <v>6.6000000000000003E-2</v>
      </c>
      <c r="AZ190" s="386">
        <f t="shared" si="166"/>
        <v>4.3499999999999997E-2</v>
      </c>
      <c r="BA190" s="386">
        <f t="shared" si="180"/>
        <v>0.10200000000000001</v>
      </c>
      <c r="BB190" s="386">
        <f t="shared" si="181"/>
        <v>5.1041295765930936</v>
      </c>
      <c r="BC190">
        <f t="shared" si="167"/>
        <v>144</v>
      </c>
      <c r="BD190" s="604">
        <f t="shared" si="182"/>
        <v>0.96576802003346818</v>
      </c>
      <c r="BE190" s="614">
        <f t="shared" si="168"/>
        <v>60.60005713130834</v>
      </c>
      <c r="BF190" s="614">
        <f t="shared" si="169"/>
        <v>43.273608445615096</v>
      </c>
      <c r="BG190" s="9"/>
      <c r="BH190" s="4">
        <f t="shared" si="183"/>
        <v>96.576802003346813</v>
      </c>
      <c r="BI190" s="386">
        <f t="shared" si="184"/>
        <v>1.5844723013796882</v>
      </c>
      <c r="BJ190" s="386">
        <f t="shared" si="185"/>
        <v>2.3745418338777249</v>
      </c>
      <c r="BK190" s="386">
        <f t="shared" si="186"/>
        <v>1.037413784912302</v>
      </c>
      <c r="BL190" s="386">
        <f t="shared" si="187"/>
        <v>0.37416240772530124</v>
      </c>
    </row>
    <row r="191" spans="7:64" x14ac:dyDescent="0.2">
      <c r="G191">
        <v>182</v>
      </c>
      <c r="H191" s="610">
        <f t="shared" si="131"/>
        <v>33.299999999999997</v>
      </c>
      <c r="I191" s="4" t="str">
        <f t="shared" si="132"/>
        <v>BUCK</v>
      </c>
      <c r="J191">
        <f t="shared" si="170"/>
        <v>1</v>
      </c>
      <c r="K191">
        <f t="shared" si="133"/>
        <v>12</v>
      </c>
      <c r="L191" s="4">
        <f t="shared" si="134"/>
        <v>4.8048048048048049</v>
      </c>
      <c r="M191" s="4">
        <f t="shared" si="135"/>
        <v>12</v>
      </c>
      <c r="N191" s="386">
        <f t="shared" si="136"/>
        <v>0.36453760345448</v>
      </c>
      <c r="O191" s="386">
        <f t="shared" si="172"/>
        <v>0</v>
      </c>
      <c r="P191" s="4">
        <f t="shared" si="137"/>
        <v>6.5745209956129917</v>
      </c>
      <c r="Q191" s="386">
        <f t="shared" si="138"/>
        <v>12.149157468461739</v>
      </c>
      <c r="R191" s="386">
        <f t="shared" si="173"/>
        <v>0.51483218455836732</v>
      </c>
      <c r="S191" s="386">
        <f t="shared" si="174"/>
        <v>1.0761235115441719</v>
      </c>
      <c r="T191" s="386">
        <f t="shared" si="175"/>
        <v>1.5909556961025393</v>
      </c>
      <c r="U191" s="4">
        <f t="shared" si="139"/>
        <v>1.8979007333050038</v>
      </c>
      <c r="V191" s="386">
        <f t="shared" si="176"/>
        <v>7.2040543869593418E-3</v>
      </c>
      <c r="W191" s="386">
        <f t="shared" si="177"/>
        <v>7.2040543869593418E-3</v>
      </c>
      <c r="X191" s="386">
        <f t="shared" si="140"/>
        <v>5.8473926337876998</v>
      </c>
      <c r="Y191" s="386">
        <f t="shared" si="178"/>
        <v>6.8384001227349306E-2</v>
      </c>
      <c r="Z191" s="603">
        <f t="shared" si="179"/>
        <v>6.8384001227349306E-2</v>
      </c>
      <c r="AA191" s="386">
        <f t="shared" si="141"/>
        <v>7.3352906730499816</v>
      </c>
      <c r="AB191" s="386">
        <f t="shared" si="142"/>
        <v>0.30669698877136409</v>
      </c>
      <c r="AC191" s="386">
        <f t="shared" si="143"/>
        <v>0.34189261363636353</v>
      </c>
      <c r="AD191">
        <f t="shared" si="144"/>
        <v>0</v>
      </c>
      <c r="AE191" s="386">
        <f t="shared" si="145"/>
        <v>0.69097350081167741</v>
      </c>
      <c r="AF191" s="386">
        <f t="shared" si="146"/>
        <v>9.6848096488958202</v>
      </c>
      <c r="AG191" s="386">
        <f t="shared" si="147"/>
        <v>0.53463456623146977</v>
      </c>
      <c r="AH191" s="386">
        <f t="shared" si="148"/>
        <v>0.24</v>
      </c>
      <c r="AI191" s="386">
        <f t="shared" si="149"/>
        <v>0.86738093188682153</v>
      </c>
      <c r="AJ191" s="386">
        <f t="shared" si="150"/>
        <v>0</v>
      </c>
      <c r="AK191" s="386">
        <f t="shared" si="151"/>
        <v>0</v>
      </c>
      <c r="AL191" s="386">
        <f t="shared" si="152"/>
        <v>0</v>
      </c>
      <c r="AM191">
        <f t="shared" si="153"/>
        <v>0</v>
      </c>
      <c r="AN191" s="386">
        <f t="shared" si="154"/>
        <v>0</v>
      </c>
      <c r="AO191" s="386">
        <f t="shared" si="155"/>
        <v>12.149157468461739</v>
      </c>
      <c r="AP191" s="386">
        <f t="shared" si="156"/>
        <v>0.28044385166761138</v>
      </c>
      <c r="AQ191" s="386">
        <f t="shared" si="157"/>
        <v>0</v>
      </c>
      <c r="AR191" s="386">
        <f t="shared" si="158"/>
        <v>0.29710829032800423</v>
      </c>
      <c r="AS191" s="386">
        <f t="shared" si="159"/>
        <v>0.28044385166761138</v>
      </c>
      <c r="AT191" s="386">
        <f t="shared" si="160"/>
        <v>0</v>
      </c>
      <c r="AU191" s="386">
        <f t="shared" si="161"/>
        <v>0.52339769999999997</v>
      </c>
      <c r="AV191" s="386">
        <f t="shared" si="162"/>
        <v>0.37518215174138231</v>
      </c>
      <c r="AW191" s="386">
        <f t="shared" si="163"/>
        <v>0.59328000000000003</v>
      </c>
      <c r="AX191" s="386">
        <f t="shared" si="164"/>
        <v>3.6000000000000004E-2</v>
      </c>
      <c r="AY191" s="386">
        <f t="shared" si="165"/>
        <v>6.6000000000000003E-2</v>
      </c>
      <c r="AZ191" s="386">
        <f t="shared" si="166"/>
        <v>4.3499999999999997E-2</v>
      </c>
      <c r="BA191" s="386">
        <f t="shared" si="180"/>
        <v>0.10200000000000001</v>
      </c>
      <c r="BB191" s="386">
        <f t="shared" si="181"/>
        <v>5.1158663264847339</v>
      </c>
      <c r="BC191">
        <f t="shared" si="167"/>
        <v>144</v>
      </c>
      <c r="BD191" s="604">
        <f t="shared" si="182"/>
        <v>0.96569200546852807</v>
      </c>
      <c r="BE191" s="614">
        <f t="shared" si="168"/>
        <v>60.718560040583867</v>
      </c>
      <c r="BF191" s="614">
        <f t="shared" si="169"/>
        <v>43.369046594341079</v>
      </c>
      <c r="BG191" s="9"/>
      <c r="BH191" s="4">
        <f t="shared" si="183"/>
        <v>96.569200546852812</v>
      </c>
      <c r="BI191" s="386">
        <f t="shared" si="184"/>
        <v>1.5909556961025393</v>
      </c>
      <c r="BJ191" s="386">
        <f t="shared" si="185"/>
        <v>2.3788604230265031</v>
      </c>
      <c r="BK191" s="386">
        <f t="shared" si="186"/>
        <v>1.0401021728868216</v>
      </c>
      <c r="BL191" s="386">
        <f t="shared" si="187"/>
        <v>0.37518215174138231</v>
      </c>
    </row>
    <row r="192" spans="7:64" x14ac:dyDescent="0.2">
      <c r="G192">
        <v>183</v>
      </c>
      <c r="H192" s="610">
        <f t="shared" si="131"/>
        <v>33.450000000000003</v>
      </c>
      <c r="I192" s="4" t="str">
        <f t="shared" si="132"/>
        <v>BUCK</v>
      </c>
      <c r="J192">
        <f t="shared" si="170"/>
        <v>1</v>
      </c>
      <c r="K192">
        <f t="shared" si="133"/>
        <v>12</v>
      </c>
      <c r="L192" s="4">
        <f t="shared" si="134"/>
        <v>4.783258594917787</v>
      </c>
      <c r="M192" s="4">
        <f t="shared" si="135"/>
        <v>12</v>
      </c>
      <c r="N192" s="386">
        <f t="shared" si="136"/>
        <v>0.36290524807451185</v>
      </c>
      <c r="O192" s="386">
        <f t="shared" si="172"/>
        <v>0</v>
      </c>
      <c r="P192" s="4">
        <f t="shared" si="137"/>
        <v>6.5914094138360735</v>
      </c>
      <c r="Q192" s="386">
        <f t="shared" si="138"/>
        <v>12.149920020521421</v>
      </c>
      <c r="R192" s="386">
        <f t="shared" si="173"/>
        <v>0.51489947656145274</v>
      </c>
      <c r="S192" s="386">
        <f t="shared" si="174"/>
        <v>1.0825031549806465</v>
      </c>
      <c r="T192" s="386">
        <f t="shared" si="175"/>
        <v>1.5974026315420993</v>
      </c>
      <c r="U192" s="4">
        <f t="shared" si="139"/>
        <v>1.9027759997086453</v>
      </c>
      <c r="V192" s="386">
        <f t="shared" si="176"/>
        <v>7.2411130101344692E-3</v>
      </c>
      <c r="W192" s="386">
        <f t="shared" si="177"/>
        <v>7.2411130101344692E-3</v>
      </c>
      <c r="X192" s="386">
        <f t="shared" si="140"/>
        <v>5.8421413066560328</v>
      </c>
      <c r="Y192" s="386">
        <f t="shared" si="178"/>
        <v>6.8261230093873318E-2</v>
      </c>
      <c r="Z192" s="603">
        <f t="shared" si="179"/>
        <v>6.8261230093873318E-2</v>
      </c>
      <c r="AA192" s="386">
        <f t="shared" si="141"/>
        <v>7.3193083470618268</v>
      </c>
      <c r="AB192" s="386">
        <f t="shared" si="142"/>
        <v>0.30536196567240292</v>
      </c>
      <c r="AC192" s="386">
        <f t="shared" si="143"/>
        <v>0.34343267045454545</v>
      </c>
      <c r="AD192">
        <f t="shared" si="144"/>
        <v>0</v>
      </c>
      <c r="AE192" s="386">
        <f t="shared" si="145"/>
        <v>0.69099537747415896</v>
      </c>
      <c r="AF192" s="386">
        <f t="shared" si="146"/>
        <v>9.697849340224785</v>
      </c>
      <c r="AG192" s="386">
        <f t="shared" si="147"/>
        <v>0.53607520640648032</v>
      </c>
      <c r="AH192" s="386">
        <f t="shared" si="148"/>
        <v>0.24</v>
      </c>
      <c r="AI192" s="386">
        <f t="shared" si="149"/>
        <v>0.86927450874651646</v>
      </c>
      <c r="AJ192" s="386">
        <f t="shared" si="150"/>
        <v>0</v>
      </c>
      <c r="AK192" s="386">
        <f t="shared" si="151"/>
        <v>0</v>
      </c>
      <c r="AL192" s="386">
        <f t="shared" si="152"/>
        <v>0</v>
      </c>
      <c r="AM192">
        <f t="shared" si="153"/>
        <v>0</v>
      </c>
      <c r="AN192" s="386">
        <f t="shared" si="154"/>
        <v>0</v>
      </c>
      <c r="AO192" s="386">
        <f t="shared" si="155"/>
        <v>12.149920020521421</v>
      </c>
      <c r="AP192" s="386">
        <f t="shared" si="156"/>
        <v>0.28047905735962775</v>
      </c>
      <c r="AQ192" s="386">
        <f t="shared" si="157"/>
        <v>0</v>
      </c>
      <c r="AR192" s="386">
        <f t="shared" si="158"/>
        <v>0.29714780458492002</v>
      </c>
      <c r="AS192" s="386">
        <f t="shared" si="159"/>
        <v>0.28047905735962775</v>
      </c>
      <c r="AT192" s="386">
        <f t="shared" si="160"/>
        <v>0</v>
      </c>
      <c r="AU192" s="386">
        <f t="shared" si="161"/>
        <v>0.52576020000000012</v>
      </c>
      <c r="AV192" s="386">
        <f t="shared" si="162"/>
        <v>0.3761931273027932</v>
      </c>
      <c r="AW192" s="386">
        <f t="shared" si="163"/>
        <v>0.59328000000000003</v>
      </c>
      <c r="AX192" s="386">
        <f t="shared" si="164"/>
        <v>3.6000000000000004E-2</v>
      </c>
      <c r="AY192" s="386">
        <f t="shared" si="165"/>
        <v>6.6000000000000003E-2</v>
      </c>
      <c r="AZ192" s="386">
        <f t="shared" si="166"/>
        <v>4.3499999999999997E-2</v>
      </c>
      <c r="BA192" s="386">
        <f t="shared" si="180"/>
        <v>0.10200000000000001</v>
      </c>
      <c r="BB192" s="386">
        <f t="shared" si="181"/>
        <v>5.1275559927544956</v>
      </c>
      <c r="BC192">
        <f t="shared" si="167"/>
        <v>144</v>
      </c>
      <c r="BD192" s="604">
        <f t="shared" si="182"/>
        <v>0.96561630773990803</v>
      </c>
      <c r="BE192" s="614">
        <f t="shared" si="168"/>
        <v>60.837778873707961</v>
      </c>
      <c r="BF192" s="614">
        <f t="shared" si="169"/>
        <v>43.46372543732582</v>
      </c>
      <c r="BG192" s="9"/>
      <c r="BH192" s="4">
        <f t="shared" si="183"/>
        <v>96.5616307739908</v>
      </c>
      <c r="BI192" s="386">
        <f t="shared" si="184"/>
        <v>1.5974026315420993</v>
      </c>
      <c r="BJ192" s="386">
        <f t="shared" si="185"/>
        <v>2.3831778908055954</v>
      </c>
      <c r="BK192" s="386">
        <f t="shared" si="186"/>
        <v>1.0427753747465165</v>
      </c>
      <c r="BL192" s="386">
        <f t="shared" si="187"/>
        <v>0.3761931273027932</v>
      </c>
    </row>
    <row r="193" spans="7:64" x14ac:dyDescent="0.2">
      <c r="G193">
        <v>184</v>
      </c>
      <c r="H193" s="610">
        <f t="shared" si="131"/>
        <v>33.6</v>
      </c>
      <c r="I193" s="4" t="str">
        <f t="shared" si="132"/>
        <v>BUCK</v>
      </c>
      <c r="J193">
        <f t="shared" si="170"/>
        <v>1</v>
      </c>
      <c r="K193">
        <f t="shared" si="133"/>
        <v>12</v>
      </c>
      <c r="L193" s="4">
        <f t="shared" si="134"/>
        <v>4.7619047619047619</v>
      </c>
      <c r="M193" s="4">
        <f t="shared" si="135"/>
        <v>12</v>
      </c>
      <c r="N193" s="386">
        <f t="shared" si="136"/>
        <v>0.36128744650499278</v>
      </c>
      <c r="O193" s="386">
        <f t="shared" si="172"/>
        <v>0</v>
      </c>
      <c r="P193" s="4">
        <f t="shared" si="137"/>
        <v>6.6081472577169373</v>
      </c>
      <c r="Q193" s="386">
        <f t="shared" si="138"/>
        <v>12.150677656615397</v>
      </c>
      <c r="R193" s="386">
        <f t="shared" si="173"/>
        <v>0.51496633962325888</v>
      </c>
      <c r="S193" s="386">
        <f t="shared" si="174"/>
        <v>1.0888469844573097</v>
      </c>
      <c r="T193" s="386">
        <f t="shared" si="175"/>
        <v>1.6038133240805685</v>
      </c>
      <c r="U193" s="4">
        <f t="shared" si="139"/>
        <v>1.9076077990437807</v>
      </c>
      <c r="V193" s="386">
        <f t="shared" si="176"/>
        <v>7.2779350299453155E-3</v>
      </c>
      <c r="W193" s="386">
        <f t="shared" si="177"/>
        <v>7.2779350299453155E-3</v>
      </c>
      <c r="X193" s="386">
        <f t="shared" si="140"/>
        <v>5.8368651721187677</v>
      </c>
      <c r="Y193" s="386">
        <f t="shared" si="178"/>
        <v>6.813799007498611E-2</v>
      </c>
      <c r="Z193" s="603">
        <f t="shared" si="179"/>
        <v>6.813799007498611E-2</v>
      </c>
      <c r="AA193" s="386">
        <f t="shared" si="141"/>
        <v>7.3034310825883777</v>
      </c>
      <c r="AB193" s="386">
        <f t="shared" si="142"/>
        <v>0.30403860179527287</v>
      </c>
      <c r="AC193" s="386">
        <f t="shared" si="143"/>
        <v>0.34497272727272732</v>
      </c>
      <c r="AD193">
        <f t="shared" si="144"/>
        <v>0</v>
      </c>
      <c r="AE193" s="386">
        <f t="shared" si="145"/>
        <v>0.69103137146327287</v>
      </c>
      <c r="AF193" s="386">
        <f t="shared" si="146"/>
        <v>9.7107601111784536</v>
      </c>
      <c r="AG193" s="386">
        <f t="shared" si="147"/>
        <v>0.53750351304007116</v>
      </c>
      <c r="AH193" s="386">
        <f t="shared" si="148"/>
        <v>0.24</v>
      </c>
      <c r="AI193" s="386">
        <f t="shared" si="149"/>
        <v>0.87115308136605907</v>
      </c>
      <c r="AJ193" s="386">
        <f t="shared" si="150"/>
        <v>0</v>
      </c>
      <c r="AK193" s="386">
        <f t="shared" si="151"/>
        <v>0</v>
      </c>
      <c r="AL193" s="386">
        <f t="shared" si="152"/>
        <v>0</v>
      </c>
      <c r="AM193">
        <f t="shared" si="153"/>
        <v>0</v>
      </c>
      <c r="AN193" s="386">
        <f t="shared" si="154"/>
        <v>0</v>
      </c>
      <c r="AO193" s="386">
        <f t="shared" si="155"/>
        <v>12.150677656615397</v>
      </c>
      <c r="AP193" s="386">
        <f t="shared" si="156"/>
        <v>0.28051403827844795</v>
      </c>
      <c r="AQ193" s="386">
        <f t="shared" si="157"/>
        <v>0</v>
      </c>
      <c r="AR193" s="386">
        <f t="shared" si="158"/>
        <v>0.29718706714419735</v>
      </c>
      <c r="AS193" s="386">
        <f t="shared" si="159"/>
        <v>0.28051403827844795</v>
      </c>
      <c r="AT193" s="386">
        <f t="shared" si="160"/>
        <v>0</v>
      </c>
      <c r="AU193" s="386">
        <f t="shared" si="161"/>
        <v>0.52812270000000006</v>
      </c>
      <c r="AV193" s="386">
        <f t="shared" si="162"/>
        <v>0.37719544774741831</v>
      </c>
      <c r="AW193" s="386">
        <f t="shared" si="163"/>
        <v>0.59328000000000003</v>
      </c>
      <c r="AX193" s="386">
        <f t="shared" si="164"/>
        <v>3.6000000000000004E-2</v>
      </c>
      <c r="AY193" s="386">
        <f t="shared" si="165"/>
        <v>6.6000000000000003E-2</v>
      </c>
      <c r="AZ193" s="386">
        <f t="shared" si="166"/>
        <v>4.3499999999999997E-2</v>
      </c>
      <c r="BA193" s="386">
        <f t="shared" si="180"/>
        <v>0.10200000000000001</v>
      </c>
      <c r="BB193" s="386">
        <f t="shared" si="181"/>
        <v>5.139198916906448</v>
      </c>
      <c r="BC193">
        <f t="shared" si="167"/>
        <v>144</v>
      </c>
      <c r="BD193" s="604">
        <f t="shared" si="182"/>
        <v>0.96554092449048368</v>
      </c>
      <c r="BE193" s="614">
        <f t="shared" si="168"/>
        <v>60.957703573163649</v>
      </c>
      <c r="BF193" s="614">
        <f t="shared" si="169"/>
        <v>43.557654068302952</v>
      </c>
      <c r="BG193" s="9"/>
      <c r="BH193" s="4">
        <f t="shared" si="183"/>
        <v>96.554092449048369</v>
      </c>
      <c r="BI193" s="386">
        <f t="shared" si="184"/>
        <v>1.6038133240805685</v>
      </c>
      <c r="BJ193" s="386">
        <f t="shared" si="185"/>
        <v>2.3874942199735294</v>
      </c>
      <c r="BK193" s="386">
        <f t="shared" si="186"/>
        <v>1.045433572366059</v>
      </c>
      <c r="BL193" s="386">
        <f t="shared" si="187"/>
        <v>0.37719544774741831</v>
      </c>
    </row>
    <row r="194" spans="7:64" x14ac:dyDescent="0.2">
      <c r="G194">
        <v>185</v>
      </c>
      <c r="H194" s="610">
        <f t="shared" si="131"/>
        <v>33.75</v>
      </c>
      <c r="I194" s="4" t="str">
        <f t="shared" si="132"/>
        <v>BUCK</v>
      </c>
      <c r="J194">
        <f t="shared" si="170"/>
        <v>1</v>
      </c>
      <c r="K194">
        <f t="shared" si="133"/>
        <v>12</v>
      </c>
      <c r="L194" s="4">
        <f t="shared" si="134"/>
        <v>4.7407407407407405</v>
      </c>
      <c r="M194" s="4">
        <f t="shared" si="135"/>
        <v>12</v>
      </c>
      <c r="N194" s="386">
        <f t="shared" si="136"/>
        <v>0.35968400497070829</v>
      </c>
      <c r="O194" s="386">
        <f t="shared" si="172"/>
        <v>0</v>
      </c>
      <c r="P194" s="4">
        <f t="shared" si="137"/>
        <v>6.6247365320622</v>
      </c>
      <c r="Q194" s="386">
        <f t="shared" si="138"/>
        <v>12.151430416893449</v>
      </c>
      <c r="R194" s="386">
        <f t="shared" si="173"/>
        <v>0.51503277719308593</v>
      </c>
      <c r="S194" s="386">
        <f t="shared" si="174"/>
        <v>1.0951552135416966</v>
      </c>
      <c r="T194" s="386">
        <f t="shared" si="175"/>
        <v>1.6101879907347825</v>
      </c>
      <c r="U194" s="4">
        <f t="shared" si="139"/>
        <v>1.9123967100482295</v>
      </c>
      <c r="V194" s="386">
        <f t="shared" si="176"/>
        <v>7.3145223532065842E-3</v>
      </c>
      <c r="W194" s="386">
        <f t="shared" si="177"/>
        <v>7.3145223532065842E-3</v>
      </c>
      <c r="X194" s="386">
        <f t="shared" si="140"/>
        <v>5.8315652891938043</v>
      </c>
      <c r="Y194" s="386">
        <f t="shared" si="178"/>
        <v>6.8014307444260041E-2</v>
      </c>
      <c r="Z194" s="603">
        <f t="shared" si="179"/>
        <v>6.8014307444260041E-2</v>
      </c>
      <c r="AA194" s="386">
        <f t="shared" si="141"/>
        <v>7.2876577213125584</v>
      </c>
      <c r="AB194" s="386">
        <f t="shared" si="142"/>
        <v>0.30272674385913734</v>
      </c>
      <c r="AC194" s="386">
        <f t="shared" si="143"/>
        <v>0.34651278409090908</v>
      </c>
      <c r="AD194">
        <f t="shared" si="144"/>
        <v>0</v>
      </c>
      <c r="AE194" s="386">
        <f t="shared" si="145"/>
        <v>0.69108128540454761</v>
      </c>
      <c r="AF194" s="386">
        <f t="shared" si="146"/>
        <v>9.7235439071151806</v>
      </c>
      <c r="AG194" s="386">
        <f t="shared" si="147"/>
        <v>0.53891964484750143</v>
      </c>
      <c r="AH194" s="386">
        <f t="shared" si="148"/>
        <v>0.24</v>
      </c>
      <c r="AI194" s="386">
        <f t="shared" si="149"/>
        <v>0.87301682870143538</v>
      </c>
      <c r="AJ194" s="386">
        <f t="shared" si="150"/>
        <v>0</v>
      </c>
      <c r="AK194" s="386">
        <f t="shared" si="151"/>
        <v>0</v>
      </c>
      <c r="AL194" s="386">
        <f t="shared" si="152"/>
        <v>0</v>
      </c>
      <c r="AM194">
        <f t="shared" si="153"/>
        <v>0</v>
      </c>
      <c r="AN194" s="386">
        <f t="shared" si="154"/>
        <v>0</v>
      </c>
      <c r="AO194" s="386">
        <f t="shared" si="155"/>
        <v>12.151430416893449</v>
      </c>
      <c r="AP194" s="386">
        <f t="shared" si="156"/>
        <v>0.28054879623554629</v>
      </c>
      <c r="AQ194" s="386">
        <f t="shared" si="157"/>
        <v>0</v>
      </c>
      <c r="AR194" s="386">
        <f t="shared" si="158"/>
        <v>0.29722608002787221</v>
      </c>
      <c r="AS194" s="386">
        <f t="shared" si="159"/>
        <v>0.28054879623554629</v>
      </c>
      <c r="AT194" s="386">
        <f t="shared" si="160"/>
        <v>0</v>
      </c>
      <c r="AU194" s="386">
        <f t="shared" si="161"/>
        <v>0.5304852000000001</v>
      </c>
      <c r="AV194" s="386">
        <f t="shared" si="162"/>
        <v>0.37818922445438702</v>
      </c>
      <c r="AW194" s="386">
        <f t="shared" si="163"/>
        <v>0.59328000000000003</v>
      </c>
      <c r="AX194" s="386">
        <f t="shared" si="164"/>
        <v>3.6000000000000004E-2</v>
      </c>
      <c r="AY194" s="386">
        <f t="shared" si="165"/>
        <v>6.6000000000000003E-2</v>
      </c>
      <c r="AZ194" s="386">
        <f t="shared" si="166"/>
        <v>4.3499999999999997E-2</v>
      </c>
      <c r="BA194" s="386">
        <f t="shared" si="180"/>
        <v>0.10200000000000001</v>
      </c>
      <c r="BB194" s="386">
        <f t="shared" si="181"/>
        <v>5.1507954391204915</v>
      </c>
      <c r="BC194">
        <f t="shared" si="167"/>
        <v>144</v>
      </c>
      <c r="BD194" s="604">
        <f t="shared" si="182"/>
        <v>0.96546585337372259</v>
      </c>
      <c r="BE194" s="614">
        <f t="shared" si="168"/>
        <v>61.078324270227391</v>
      </c>
      <c r="BF194" s="614">
        <f t="shared" si="169"/>
        <v>43.650841435071769</v>
      </c>
      <c r="BG194" s="9"/>
      <c r="BH194" s="4">
        <f t="shared" si="183"/>
        <v>96.546585337372264</v>
      </c>
      <c r="BI194" s="386">
        <f t="shared" si="184"/>
        <v>1.6101879907347825</v>
      </c>
      <c r="BJ194" s="386">
        <f t="shared" si="185"/>
        <v>2.3918093941338552</v>
      </c>
      <c r="BK194" s="386">
        <f t="shared" si="186"/>
        <v>1.0480769447014353</v>
      </c>
      <c r="BL194" s="386">
        <f t="shared" si="187"/>
        <v>0.37818922445438702</v>
      </c>
    </row>
    <row r="195" spans="7:64" x14ac:dyDescent="0.2">
      <c r="G195">
        <v>186</v>
      </c>
      <c r="H195" s="610">
        <f t="shared" si="131"/>
        <v>33.900000000000006</v>
      </c>
      <c r="I195" s="4" t="str">
        <f t="shared" si="132"/>
        <v>BUCK</v>
      </c>
      <c r="J195">
        <f t="shared" si="170"/>
        <v>1</v>
      </c>
      <c r="K195">
        <f t="shared" si="133"/>
        <v>12</v>
      </c>
      <c r="L195" s="4">
        <f t="shared" si="134"/>
        <v>4.7197640117994091</v>
      </c>
      <c r="M195" s="4">
        <f t="shared" si="135"/>
        <v>12</v>
      </c>
      <c r="N195" s="386">
        <f t="shared" si="136"/>
        <v>0.35809473312124418</v>
      </c>
      <c r="O195" s="386">
        <f t="shared" si="172"/>
        <v>0</v>
      </c>
      <c r="P195" s="4">
        <f t="shared" si="137"/>
        <v>6.6411792062453463</v>
      </c>
      <c r="Q195" s="386">
        <f t="shared" si="138"/>
        <v>12.152178341246291</v>
      </c>
      <c r="R195" s="386">
        <f t="shared" si="173"/>
        <v>0.51509879269899039</v>
      </c>
      <c r="S195" s="386">
        <f t="shared" si="174"/>
        <v>1.1014280563524304</v>
      </c>
      <c r="T195" s="386">
        <f t="shared" si="175"/>
        <v>1.6165268490514206</v>
      </c>
      <c r="U195" s="4">
        <f t="shared" si="139"/>
        <v>1.9171433012311481</v>
      </c>
      <c r="V195" s="386">
        <f t="shared" si="176"/>
        <v>7.3508768749109294E-3</v>
      </c>
      <c r="W195" s="386">
        <f t="shared" si="177"/>
        <v>7.3508768749109294E-3</v>
      </c>
      <c r="X195" s="386">
        <f t="shared" si="140"/>
        <v>5.8262426858052088</v>
      </c>
      <c r="Y195" s="386">
        <f t="shared" si="178"/>
        <v>6.7890207667797381E-2</v>
      </c>
      <c r="Z195" s="603">
        <f t="shared" si="179"/>
        <v>6.7890207667797381E-2</v>
      </c>
      <c r="AA195" s="386">
        <f t="shared" si="141"/>
        <v>7.271987122913746</v>
      </c>
      <c r="AB195" s="386">
        <f t="shared" si="142"/>
        <v>0.30142624128019307</v>
      </c>
      <c r="AC195" s="386">
        <f t="shared" si="143"/>
        <v>0.34805284090909094</v>
      </c>
      <c r="AD195">
        <f t="shared" si="144"/>
        <v>0</v>
      </c>
      <c r="AE195" s="386">
        <f t="shared" si="145"/>
        <v>0.69114492561062169</v>
      </c>
      <c r="AF195" s="386">
        <f t="shared" si="146"/>
        <v>9.7362026335544254</v>
      </c>
      <c r="AG195" s="386">
        <f t="shared" si="147"/>
        <v>0.54032375781330311</v>
      </c>
      <c r="AH195" s="386">
        <f t="shared" si="148"/>
        <v>0.24</v>
      </c>
      <c r="AI195" s="386">
        <f t="shared" si="149"/>
        <v>0.87486592684886222</v>
      </c>
      <c r="AJ195" s="386">
        <f t="shared" si="150"/>
        <v>0</v>
      </c>
      <c r="AK195" s="386">
        <f t="shared" si="151"/>
        <v>0</v>
      </c>
      <c r="AL195" s="386">
        <f t="shared" si="152"/>
        <v>0</v>
      </c>
      <c r="AM195">
        <f t="shared" si="153"/>
        <v>0</v>
      </c>
      <c r="AN195" s="386">
        <f t="shared" si="154"/>
        <v>0</v>
      </c>
      <c r="AO195" s="386">
        <f t="shared" si="155"/>
        <v>12.152178341246291</v>
      </c>
      <c r="AP195" s="386">
        <f t="shared" si="156"/>
        <v>0.28058333303116534</v>
      </c>
      <c r="AQ195" s="386">
        <f t="shared" si="157"/>
        <v>0</v>
      </c>
      <c r="AR195" s="386">
        <f t="shared" si="158"/>
        <v>0.29726484524556412</v>
      </c>
      <c r="AS195" s="386">
        <f t="shared" si="159"/>
        <v>0.28058333303116534</v>
      </c>
      <c r="AT195" s="386">
        <f t="shared" si="160"/>
        <v>0</v>
      </c>
      <c r="AU195" s="386">
        <f t="shared" si="161"/>
        <v>0.53284770000000015</v>
      </c>
      <c r="AV195" s="386">
        <f t="shared" si="162"/>
        <v>0.37917456688652851</v>
      </c>
      <c r="AW195" s="386">
        <f t="shared" si="163"/>
        <v>0.59328000000000003</v>
      </c>
      <c r="AX195" s="386">
        <f t="shared" si="164"/>
        <v>3.6000000000000004E-2</v>
      </c>
      <c r="AY195" s="386">
        <f t="shared" si="165"/>
        <v>6.6000000000000003E-2</v>
      </c>
      <c r="AZ195" s="386">
        <f t="shared" si="166"/>
        <v>4.3499999999999997E-2</v>
      </c>
      <c r="BA195" s="386">
        <f t="shared" si="180"/>
        <v>0.10200000000000001</v>
      </c>
      <c r="BB195" s="386">
        <f t="shared" si="181"/>
        <v>5.1623458981857064</v>
      </c>
      <c r="BC195">
        <f t="shared" si="167"/>
        <v>144</v>
      </c>
      <c r="BD195" s="604">
        <f t="shared" si="182"/>
        <v>0.9653910920540939</v>
      </c>
      <c r="BE195" s="614">
        <f t="shared" si="168"/>
        <v>61.199631280531094</v>
      </c>
      <c r="BF195" s="614">
        <f t="shared" si="169"/>
        <v>43.743296342443109</v>
      </c>
      <c r="BG195" s="9"/>
      <c r="BH195" s="4">
        <f t="shared" si="183"/>
        <v>96.539109205409389</v>
      </c>
      <c r="BI195" s="386">
        <f t="shared" si="184"/>
        <v>1.6165268490514206</v>
      </c>
      <c r="BJ195" s="386">
        <f t="shared" si="185"/>
        <v>2.3961233977050482</v>
      </c>
      <c r="BK195" s="386">
        <f t="shared" si="186"/>
        <v>1.0507056678488622</v>
      </c>
      <c r="BL195" s="386">
        <f t="shared" si="187"/>
        <v>0.37917456688652851</v>
      </c>
    </row>
    <row r="196" spans="7:64" x14ac:dyDescent="0.2">
      <c r="G196">
        <v>187</v>
      </c>
      <c r="H196" s="610">
        <f t="shared" si="131"/>
        <v>34.049999999999997</v>
      </c>
      <c r="I196" s="4" t="str">
        <f t="shared" si="132"/>
        <v>BUCK</v>
      </c>
      <c r="J196">
        <f t="shared" si="170"/>
        <v>1</v>
      </c>
      <c r="K196">
        <f t="shared" si="133"/>
        <v>12</v>
      </c>
      <c r="L196" s="4">
        <f t="shared" si="134"/>
        <v>4.6989720998531572</v>
      </c>
      <c r="M196" s="4">
        <f t="shared" si="135"/>
        <v>12</v>
      </c>
      <c r="N196" s="386">
        <f t="shared" si="136"/>
        <v>0.35651944395565721</v>
      </c>
      <c r="O196" s="386">
        <f t="shared" si="172"/>
        <v>0</v>
      </c>
      <c r="P196" s="4">
        <f t="shared" si="137"/>
        <v>6.6574772149860895</v>
      </c>
      <c r="Q196" s="386">
        <f t="shared" si="138"/>
        <v>12.152921469301319</v>
      </c>
      <c r="R196" s="386">
        <f t="shared" si="173"/>
        <v>0.51516438954738586</v>
      </c>
      <c r="S196" s="386">
        <f t="shared" si="174"/>
        <v>1.1076657274597683</v>
      </c>
      <c r="T196" s="386">
        <f t="shared" si="175"/>
        <v>1.6228301170071542</v>
      </c>
      <c r="U196" s="4">
        <f t="shared" si="139"/>
        <v>1.9218481310980096</v>
      </c>
      <c r="V196" s="386">
        <f t="shared" si="176"/>
        <v>7.3870004780098239E-3</v>
      </c>
      <c r="W196" s="386">
        <f t="shared" si="177"/>
        <v>7.3870004780098239E-3</v>
      </c>
      <c r="X196" s="386">
        <f t="shared" si="140"/>
        <v>5.8208983597620945</v>
      </c>
      <c r="Y196" s="386">
        <f t="shared" si="178"/>
        <v>6.7765715429362092E-2</v>
      </c>
      <c r="Z196" s="603">
        <f t="shared" si="179"/>
        <v>6.7765715429362092E-2</v>
      </c>
      <c r="AA196" s="386">
        <f t="shared" si="141"/>
        <v>7.2564181647059707</v>
      </c>
      <c r="AB196" s="386">
        <f t="shared" si="142"/>
        <v>0.30013694611212621</v>
      </c>
      <c r="AC196" s="386">
        <f t="shared" si="143"/>
        <v>0.34959289772727264</v>
      </c>
      <c r="AD196">
        <f t="shared" si="144"/>
        <v>0</v>
      </c>
      <c r="AE196" s="386">
        <f t="shared" si="145"/>
        <v>0.69122210199499534</v>
      </c>
      <c r="AF196" s="386">
        <f t="shared" si="146"/>
        <v>9.7487381572145093</v>
      </c>
      <c r="AG196" s="386">
        <f t="shared" si="147"/>
        <v>0.54171600525020192</v>
      </c>
      <c r="AH196" s="386">
        <f t="shared" si="148"/>
        <v>0.24</v>
      </c>
      <c r="AI196" s="386">
        <f t="shared" si="149"/>
        <v>0.87670054910226991</v>
      </c>
      <c r="AJ196" s="386">
        <f t="shared" si="150"/>
        <v>0</v>
      </c>
      <c r="AK196" s="386">
        <f t="shared" si="151"/>
        <v>0</v>
      </c>
      <c r="AL196" s="386">
        <f t="shared" si="152"/>
        <v>0</v>
      </c>
      <c r="AM196">
        <f t="shared" si="153"/>
        <v>0</v>
      </c>
      <c r="AN196" s="386">
        <f t="shared" si="154"/>
        <v>0</v>
      </c>
      <c r="AO196" s="386">
        <f t="shared" si="155"/>
        <v>12.152921469301319</v>
      </c>
      <c r="AP196" s="386">
        <f t="shared" si="156"/>
        <v>0.28061765045410936</v>
      </c>
      <c r="AQ196" s="386">
        <f t="shared" si="157"/>
        <v>0</v>
      </c>
      <c r="AR196" s="386">
        <f t="shared" si="158"/>
        <v>0.29730336479424158</v>
      </c>
      <c r="AS196" s="386">
        <f t="shared" si="159"/>
        <v>0.28061765045410936</v>
      </c>
      <c r="AT196" s="386">
        <f t="shared" si="160"/>
        <v>0</v>
      </c>
      <c r="AU196" s="386">
        <f t="shared" si="161"/>
        <v>0.53521019999999997</v>
      </c>
      <c r="AV196" s="386">
        <f t="shared" si="162"/>
        <v>0.38015158263172061</v>
      </c>
      <c r="AW196" s="386">
        <f t="shared" si="163"/>
        <v>0.59328000000000003</v>
      </c>
      <c r="AX196" s="386">
        <f t="shared" si="164"/>
        <v>3.6000000000000004E-2</v>
      </c>
      <c r="AY196" s="386">
        <f t="shared" si="165"/>
        <v>6.6000000000000003E-2</v>
      </c>
      <c r="AZ196" s="386">
        <f t="shared" si="166"/>
        <v>4.3499999999999997E-2</v>
      </c>
      <c r="BA196" s="386">
        <f t="shared" si="180"/>
        <v>0.10200000000000001</v>
      </c>
      <c r="BB196" s="386">
        <f t="shared" si="181"/>
        <v>5.1738506314377535</v>
      </c>
      <c r="BC196">
        <f t="shared" si="167"/>
        <v>144</v>
      </c>
      <c r="BD196" s="604">
        <f t="shared" si="182"/>
        <v>0.96531663820745151</v>
      </c>
      <c r="BE196" s="614">
        <f t="shared" si="168"/>
        <v>61.321615099749764</v>
      </c>
      <c r="BF196" s="614">
        <f t="shared" si="169"/>
        <v>43.835027455113497</v>
      </c>
      <c r="BG196" s="9"/>
      <c r="BH196" s="4">
        <f t="shared" si="183"/>
        <v>96.531663820745152</v>
      </c>
      <c r="BI196" s="386">
        <f t="shared" si="184"/>
        <v>1.6228301170071542</v>
      </c>
      <c r="BJ196" s="386">
        <f t="shared" si="185"/>
        <v>2.4004362158915069</v>
      </c>
      <c r="BK196" s="386">
        <f t="shared" si="186"/>
        <v>1.0533199151022699</v>
      </c>
      <c r="BL196" s="386">
        <f t="shared" si="187"/>
        <v>0.38015158263172061</v>
      </c>
    </row>
    <row r="197" spans="7:64" x14ac:dyDescent="0.2">
      <c r="G197">
        <v>188</v>
      </c>
      <c r="H197" s="610">
        <f t="shared" si="131"/>
        <v>34.200000000000003</v>
      </c>
      <c r="I197" s="4" t="str">
        <f t="shared" si="132"/>
        <v>BUCK</v>
      </c>
      <c r="J197">
        <f t="shared" si="170"/>
        <v>1</v>
      </c>
      <c r="K197">
        <f t="shared" si="133"/>
        <v>12</v>
      </c>
      <c r="L197" s="4">
        <f t="shared" si="134"/>
        <v>4.6783625730994141</v>
      </c>
      <c r="M197" s="4">
        <f t="shared" si="135"/>
        <v>12</v>
      </c>
      <c r="N197" s="386">
        <f t="shared" si="136"/>
        <v>0.35495795374912398</v>
      </c>
      <c r="O197" s="386">
        <f t="shared" si="172"/>
        <v>0</v>
      </c>
      <c r="P197" s="4">
        <f t="shared" si="137"/>
        <v>6.6736324591092746</v>
      </c>
      <c r="Q197" s="386">
        <f t="shared" si="138"/>
        <v>12.153659840418705</v>
      </c>
      <c r="R197" s="386">
        <f t="shared" si="173"/>
        <v>0.5152295711226742</v>
      </c>
      <c r="S197" s="386">
        <f t="shared" si="174"/>
        <v>1.1138684417908364</v>
      </c>
      <c r="T197" s="386">
        <f t="shared" si="175"/>
        <v>1.6290980129135106</v>
      </c>
      <c r="U197" s="4">
        <f t="shared" si="139"/>
        <v>1.9265117483696821</v>
      </c>
      <c r="V197" s="386">
        <f t="shared" si="176"/>
        <v>7.4228950332128193E-3</v>
      </c>
      <c r="W197" s="386">
        <f t="shared" si="177"/>
        <v>7.4228950332128193E-3</v>
      </c>
      <c r="X197" s="386">
        <f t="shared" si="140"/>
        <v>5.8155332797027057</v>
      </c>
      <c r="Y197" s="386">
        <f t="shared" si="178"/>
        <v>6.7640854654659424E-2</v>
      </c>
      <c r="Z197" s="603">
        <f t="shared" si="179"/>
        <v>6.7640854654659424E-2</v>
      </c>
      <c r="AA197" s="386">
        <f t="shared" si="141"/>
        <v>7.2409497412850286</v>
      </c>
      <c r="AB197" s="386">
        <f t="shared" si="142"/>
        <v>0.29885871298814964</v>
      </c>
      <c r="AC197" s="386">
        <f t="shared" si="143"/>
        <v>0.35113295454545457</v>
      </c>
      <c r="AD197">
        <f t="shared" si="144"/>
        <v>0</v>
      </c>
      <c r="AE197" s="386">
        <f t="shared" si="145"/>
        <v>0.69131262798820636</v>
      </c>
      <c r="AF197" s="386">
        <f t="shared" si="146"/>
        <v>9.7611523070173778</v>
      </c>
      <c r="AG197" s="386">
        <f t="shared" si="147"/>
        <v>0.5430965378565068</v>
      </c>
      <c r="AH197" s="386">
        <f t="shared" si="148"/>
        <v>0.24</v>
      </c>
      <c r="AI197" s="386">
        <f t="shared" si="149"/>
        <v>0.87852086600938639</v>
      </c>
      <c r="AJ197" s="386">
        <f t="shared" si="150"/>
        <v>0</v>
      </c>
      <c r="AK197" s="386">
        <f t="shared" si="151"/>
        <v>0</v>
      </c>
      <c r="AL197" s="386">
        <f t="shared" si="152"/>
        <v>0</v>
      </c>
      <c r="AM197">
        <f t="shared" si="153"/>
        <v>0</v>
      </c>
      <c r="AN197" s="386">
        <f t="shared" si="154"/>
        <v>0</v>
      </c>
      <c r="AO197" s="386">
        <f t="shared" si="155"/>
        <v>12.153659840418705</v>
      </c>
      <c r="AP197" s="386">
        <f t="shared" si="156"/>
        <v>0.2806517502815522</v>
      </c>
      <c r="AQ197" s="386">
        <f t="shared" si="157"/>
        <v>0</v>
      </c>
      <c r="AR197" s="386">
        <f t="shared" si="158"/>
        <v>0.29734164065800361</v>
      </c>
      <c r="AS197" s="386">
        <f t="shared" si="159"/>
        <v>0.2806517502815522</v>
      </c>
      <c r="AT197" s="386">
        <f t="shared" si="160"/>
        <v>0</v>
      </c>
      <c r="AU197" s="386">
        <f t="shared" si="161"/>
        <v>0.53757270000000013</v>
      </c>
      <c r="AV197" s="386">
        <f t="shared" si="162"/>
        <v>0.38112037744316268</v>
      </c>
      <c r="AW197" s="386">
        <f t="shared" si="163"/>
        <v>0.59328000000000003</v>
      </c>
      <c r="AX197" s="386">
        <f t="shared" si="164"/>
        <v>3.6000000000000004E-2</v>
      </c>
      <c r="AY197" s="386">
        <f t="shared" si="165"/>
        <v>6.6000000000000003E-2</v>
      </c>
      <c r="AZ197" s="386">
        <f t="shared" si="166"/>
        <v>4.3499999999999997E-2</v>
      </c>
      <c r="BA197" s="386">
        <f t="shared" si="180"/>
        <v>0.10200000000000001</v>
      </c>
      <c r="BB197" s="386">
        <f t="shared" si="181"/>
        <v>5.185309974700143</v>
      </c>
      <c r="BC197">
        <f t="shared" si="167"/>
        <v>144</v>
      </c>
      <c r="BD197" s="604">
        <f t="shared" si="182"/>
        <v>0.96524248952139113</v>
      </c>
      <c r="BE197" s="614">
        <f t="shared" si="168"/>
        <v>61.444266399410317</v>
      </c>
      <c r="BF197" s="614">
        <f t="shared" si="169"/>
        <v>43.926043300469317</v>
      </c>
      <c r="BG197" s="9"/>
      <c r="BH197" s="4">
        <f t="shared" si="183"/>
        <v>96.524248952139118</v>
      </c>
      <c r="BI197" s="386">
        <f t="shared" si="184"/>
        <v>1.6290980129135106</v>
      </c>
      <c r="BJ197" s="386">
        <f t="shared" si="185"/>
        <v>2.4047478346555966</v>
      </c>
      <c r="BK197" s="386">
        <f t="shared" si="186"/>
        <v>1.0559198570093864</v>
      </c>
      <c r="BL197" s="386">
        <f t="shared" si="187"/>
        <v>0.38112037744316268</v>
      </c>
    </row>
    <row r="198" spans="7:64" x14ac:dyDescent="0.2">
      <c r="G198">
        <v>189</v>
      </c>
      <c r="H198" s="610">
        <f t="shared" si="131"/>
        <v>34.349999999999994</v>
      </c>
      <c r="I198" s="4" t="str">
        <f t="shared" si="132"/>
        <v>BUCK</v>
      </c>
      <c r="J198">
        <f t="shared" si="170"/>
        <v>1</v>
      </c>
      <c r="K198">
        <f t="shared" si="133"/>
        <v>12</v>
      </c>
      <c r="L198" s="4">
        <f t="shared" si="134"/>
        <v>4.6579330422125187</v>
      </c>
      <c r="M198" s="4">
        <f t="shared" si="135"/>
        <v>12</v>
      </c>
      <c r="N198" s="386">
        <f t="shared" si="136"/>
        <v>0.35341008198151058</v>
      </c>
      <c r="O198" s="386">
        <f t="shared" si="172"/>
        <v>0</v>
      </c>
      <c r="P198" s="4">
        <f t="shared" si="137"/>
        <v>6.6896468062838865</v>
      </c>
      <c r="Q198" s="386">
        <f t="shared" si="138"/>
        <v>12.15439349368787</v>
      </c>
      <c r="R198" s="386">
        <f t="shared" si="173"/>
        <v>0.51529434078690961</v>
      </c>
      <c r="S198" s="386">
        <f t="shared" si="174"/>
        <v>1.1200364145393329</v>
      </c>
      <c r="T198" s="386">
        <f t="shared" si="175"/>
        <v>1.6353307553262426</v>
      </c>
      <c r="U198" s="4">
        <f t="shared" si="139"/>
        <v>1.9311346921957613</v>
      </c>
      <c r="V198" s="386">
        <f t="shared" si="176"/>
        <v>7.458562398804036E-3</v>
      </c>
      <c r="W198" s="386">
        <f t="shared" si="177"/>
        <v>7.458562398804036E-3</v>
      </c>
      <c r="X198" s="386">
        <f t="shared" si="140"/>
        <v>5.8101483860051832</v>
      </c>
      <c r="Y198" s="386">
        <f t="shared" si="178"/>
        <v>6.751564853479726E-2</v>
      </c>
      <c r="Z198" s="603">
        <f t="shared" si="179"/>
        <v>6.751564853479726E-2</v>
      </c>
      <c r="AA198" s="386">
        <f t="shared" si="141"/>
        <v>7.2255807641843095</v>
      </c>
      <c r="AB198" s="386">
        <f t="shared" si="142"/>
        <v>0.29759139906457677</v>
      </c>
      <c r="AC198" s="386">
        <f t="shared" si="143"/>
        <v>0.35267301136363627</v>
      </c>
      <c r="AD198">
        <f t="shared" si="144"/>
        <v>0</v>
      </c>
      <c r="AE198" s="386">
        <f t="shared" si="145"/>
        <v>0.69141632045635049</v>
      </c>
      <c r="AF198" s="386">
        <f t="shared" si="146"/>
        <v>9.7734468750616177</v>
      </c>
      <c r="AG198" s="386">
        <f t="shared" si="147"/>
        <v>0.54446550377201475</v>
      </c>
      <c r="AH198" s="386">
        <f t="shared" si="148"/>
        <v>0.24</v>
      </c>
      <c r="AI198" s="386">
        <f t="shared" si="149"/>
        <v>0.88032704542646456</v>
      </c>
      <c r="AJ198" s="386">
        <f t="shared" si="150"/>
        <v>0</v>
      </c>
      <c r="AK198" s="386">
        <f t="shared" si="151"/>
        <v>0</v>
      </c>
      <c r="AL198" s="386">
        <f t="shared" si="152"/>
        <v>0</v>
      </c>
      <c r="AM198">
        <f t="shared" si="153"/>
        <v>0</v>
      </c>
      <c r="AN198" s="386">
        <f t="shared" si="154"/>
        <v>0</v>
      </c>
      <c r="AO198" s="386">
        <f t="shared" si="155"/>
        <v>12.15439349368787</v>
      </c>
      <c r="AP198" s="386">
        <f t="shared" si="156"/>
        <v>0.28068563427886389</v>
      </c>
      <c r="AQ198" s="386">
        <f t="shared" si="157"/>
        <v>0</v>
      </c>
      <c r="AR198" s="386">
        <f t="shared" si="158"/>
        <v>0.29737967480788247</v>
      </c>
      <c r="AS198" s="386">
        <f t="shared" si="159"/>
        <v>0.28068563427886389</v>
      </c>
      <c r="AT198" s="386">
        <f t="shared" si="160"/>
        <v>0</v>
      </c>
      <c r="AU198" s="386">
        <f t="shared" si="161"/>
        <v>0.53993519999999995</v>
      </c>
      <c r="AV198" s="386">
        <f t="shared" si="162"/>
        <v>0.38208105527860681</v>
      </c>
      <c r="AW198" s="386">
        <f t="shared" si="163"/>
        <v>0.59328000000000003</v>
      </c>
      <c r="AX198" s="386">
        <f t="shared" si="164"/>
        <v>3.6000000000000004E-2</v>
      </c>
      <c r="AY198" s="386">
        <f t="shared" si="165"/>
        <v>6.6000000000000003E-2</v>
      </c>
      <c r="AZ198" s="386">
        <f t="shared" si="166"/>
        <v>4.3499999999999997E-2</v>
      </c>
      <c r="BA198" s="386">
        <f t="shared" si="180"/>
        <v>0.10200000000000001</v>
      </c>
      <c r="BB198" s="386">
        <f t="shared" si="181"/>
        <v>5.1967242622291483</v>
      </c>
      <c r="BC198">
        <f t="shared" si="167"/>
        <v>144</v>
      </c>
      <c r="BD198" s="604">
        <f t="shared" si="182"/>
        <v>0.96516864369558586</v>
      </c>
      <c r="BE198" s="614">
        <f t="shared" si="168"/>
        <v>61.567576022817526</v>
      </c>
      <c r="BF198" s="614">
        <f t="shared" si="169"/>
        <v>44.016352271323228</v>
      </c>
      <c r="BG198" s="9"/>
      <c r="BH198" s="4">
        <f t="shared" si="183"/>
        <v>96.51686436955859</v>
      </c>
      <c r="BI198" s="386">
        <f t="shared" si="184"/>
        <v>1.6353307553262426</v>
      </c>
      <c r="BJ198" s="386">
        <f t="shared" si="185"/>
        <v>2.4090582406906975</v>
      </c>
      <c r="BK198" s="386">
        <f t="shared" si="186"/>
        <v>1.0585056614264645</v>
      </c>
      <c r="BL198" s="386">
        <f t="shared" si="187"/>
        <v>0.38208105527860681</v>
      </c>
    </row>
    <row r="199" spans="7:64" x14ac:dyDescent="0.2">
      <c r="G199">
        <v>190</v>
      </c>
      <c r="H199" s="610">
        <f t="shared" si="131"/>
        <v>34.5</v>
      </c>
      <c r="I199" s="4" t="str">
        <f t="shared" si="132"/>
        <v>BUCK</v>
      </c>
      <c r="J199">
        <f t="shared" si="170"/>
        <v>1</v>
      </c>
      <c r="K199">
        <f t="shared" si="133"/>
        <v>12</v>
      </c>
      <c r="L199" s="4">
        <f t="shared" si="134"/>
        <v>4.63768115942029</v>
      </c>
      <c r="M199" s="4">
        <f t="shared" si="135"/>
        <v>12</v>
      </c>
      <c r="N199" s="386">
        <f t="shared" si="136"/>
        <v>0.35187565126780129</v>
      </c>
      <c r="O199" s="386">
        <f t="shared" si="172"/>
        <v>0</v>
      </c>
      <c r="P199" s="4">
        <f t="shared" si="137"/>
        <v>6.7055220917428464</v>
      </c>
      <c r="Q199" s="386">
        <f t="shared" si="138"/>
        <v>12.155122467924279</v>
      </c>
      <c r="R199" s="386">
        <f t="shared" si="173"/>
        <v>0.5153587018794914</v>
      </c>
      <c r="S199" s="386">
        <f t="shared" si="174"/>
        <v>1.126169861079547</v>
      </c>
      <c r="T199" s="386">
        <f t="shared" si="175"/>
        <v>1.6415285629590384</v>
      </c>
      <c r="U199" s="4">
        <f t="shared" si="139"/>
        <v>1.9357174923623575</v>
      </c>
      <c r="V199" s="386">
        <f t="shared" si="176"/>
        <v>7.494004420475227E-3</v>
      </c>
      <c r="W199" s="386">
        <f t="shared" si="177"/>
        <v>7.494004420475227E-3</v>
      </c>
      <c r="X199" s="386">
        <f t="shared" si="140"/>
        <v>5.8047445916662728</v>
      </c>
      <c r="Y199" s="386">
        <f t="shared" si="178"/>
        <v>6.7390119548957683E-2</v>
      </c>
      <c r="Z199" s="603">
        <f t="shared" si="179"/>
        <v>6.7390119548957683E-2</v>
      </c>
      <c r="AA199" s="386">
        <f t="shared" si="141"/>
        <v>7.2103101615390059</v>
      </c>
      <c r="AB199" s="386">
        <f t="shared" si="142"/>
        <v>0.2963348639658781</v>
      </c>
      <c r="AC199" s="386">
        <f t="shared" si="143"/>
        <v>0.35421306818181814</v>
      </c>
      <c r="AD199">
        <f t="shared" si="144"/>
        <v>0</v>
      </c>
      <c r="AE199" s="386">
        <f t="shared" si="145"/>
        <v>0.69153299962186865</v>
      </c>
      <c r="AF199" s="386">
        <f t="shared" si="146"/>
        <v>9.7856236175649514</v>
      </c>
      <c r="AG199" s="386">
        <f t="shared" si="147"/>
        <v>0.54582304863247633</v>
      </c>
      <c r="AH199" s="386">
        <f t="shared" si="148"/>
        <v>0.24</v>
      </c>
      <c r="AI199" s="386">
        <f t="shared" si="149"/>
        <v>0.88211925257169299</v>
      </c>
      <c r="AJ199" s="386">
        <f t="shared" si="150"/>
        <v>0</v>
      </c>
      <c r="AK199" s="386">
        <f t="shared" si="151"/>
        <v>0</v>
      </c>
      <c r="AL199" s="386">
        <f t="shared" si="152"/>
        <v>0</v>
      </c>
      <c r="AM199">
        <f t="shared" si="153"/>
        <v>0</v>
      </c>
      <c r="AN199" s="386">
        <f t="shared" si="154"/>
        <v>0</v>
      </c>
      <c r="AO199" s="386">
        <f t="shared" si="155"/>
        <v>12.155122467924279</v>
      </c>
      <c r="AP199" s="386">
        <f t="shared" si="156"/>
        <v>0.28071930419945146</v>
      </c>
      <c r="AQ199" s="386">
        <f t="shared" si="157"/>
        <v>0</v>
      </c>
      <c r="AR199" s="386">
        <f t="shared" si="158"/>
        <v>0.29741746920166195</v>
      </c>
      <c r="AS199" s="386">
        <f t="shared" si="159"/>
        <v>0.28071930419945146</v>
      </c>
      <c r="AT199" s="386">
        <f t="shared" si="160"/>
        <v>0</v>
      </c>
      <c r="AU199" s="386">
        <f t="shared" si="161"/>
        <v>0.5422977000000001</v>
      </c>
      <c r="AV199" s="386">
        <f t="shared" si="162"/>
        <v>0.38303371833857991</v>
      </c>
      <c r="AW199" s="386">
        <f t="shared" si="163"/>
        <v>0.59328000000000003</v>
      </c>
      <c r="AX199" s="386">
        <f t="shared" si="164"/>
        <v>3.6000000000000004E-2</v>
      </c>
      <c r="AY199" s="386">
        <f t="shared" si="165"/>
        <v>6.6000000000000003E-2</v>
      </c>
      <c r="AZ199" s="386">
        <f t="shared" si="166"/>
        <v>4.3499999999999997E-2</v>
      </c>
      <c r="BA199" s="386">
        <f t="shared" si="180"/>
        <v>0.10200000000000001</v>
      </c>
      <c r="BB199" s="386">
        <f t="shared" si="181"/>
        <v>5.2080938266622745</v>
      </c>
      <c r="BC199">
        <f t="shared" si="167"/>
        <v>144</v>
      </c>
      <c r="BD199" s="604">
        <f t="shared" si="182"/>
        <v>0.96509509844209529</v>
      </c>
      <c r="BE199" s="614">
        <f t="shared" si="168"/>
        <v>61.691534981093433</v>
      </c>
      <c r="BF199" s="614">
        <f t="shared" si="169"/>
        <v>44.105962628584649</v>
      </c>
      <c r="BG199" s="9"/>
      <c r="BH199" s="4">
        <f t="shared" si="183"/>
        <v>96.509509844209532</v>
      </c>
      <c r="BI199" s="386">
        <f t="shared" si="184"/>
        <v>1.6415285629590384</v>
      </c>
      <c r="BJ199" s="386">
        <f t="shared" si="185"/>
        <v>2.4133674213952236</v>
      </c>
      <c r="BK199" s="386">
        <f t="shared" si="186"/>
        <v>1.0610774935716931</v>
      </c>
      <c r="BL199" s="386">
        <f t="shared" si="187"/>
        <v>0.38303371833857991</v>
      </c>
    </row>
    <row r="200" spans="7:64" x14ac:dyDescent="0.2">
      <c r="G200">
        <v>191</v>
      </c>
      <c r="H200" s="610">
        <f t="shared" si="131"/>
        <v>34.65</v>
      </c>
      <c r="I200" s="4" t="str">
        <f t="shared" si="132"/>
        <v>BUCK</v>
      </c>
      <c r="J200">
        <f t="shared" si="170"/>
        <v>1</v>
      </c>
      <c r="K200">
        <f t="shared" si="133"/>
        <v>12</v>
      </c>
      <c r="L200" s="4">
        <f t="shared" si="134"/>
        <v>4.6176046176046182</v>
      </c>
      <c r="M200" s="4">
        <f t="shared" si="135"/>
        <v>12</v>
      </c>
      <c r="N200" s="386">
        <f t="shared" si="136"/>
        <v>0.35035448729033369</v>
      </c>
      <c r="O200" s="386">
        <f t="shared" si="172"/>
        <v>0</v>
      </c>
      <c r="P200" s="4">
        <f t="shared" si="137"/>
        <v>6.7212601189841079</v>
      </c>
      <c r="Q200" s="386">
        <f t="shared" si="138"/>
        <v>12.155846801666563</v>
      </c>
      <c r="R200" s="386">
        <f t="shared" si="173"/>
        <v>0.51542265771688689</v>
      </c>
      <c r="S200" s="386">
        <f t="shared" si="174"/>
        <v>1.1322689968844821</v>
      </c>
      <c r="T200" s="386">
        <f t="shared" si="175"/>
        <v>1.6476916546013691</v>
      </c>
      <c r="U200" s="4">
        <f t="shared" si="139"/>
        <v>1.9402606694944855</v>
      </c>
      <c r="V200" s="386">
        <f t="shared" si="176"/>
        <v>7.5292229311743784E-3</v>
      </c>
      <c r="W200" s="386">
        <f t="shared" si="177"/>
        <v>7.5292229311743784E-3</v>
      </c>
      <c r="X200" s="386">
        <f t="shared" si="140"/>
        <v>5.7993227831493073</v>
      </c>
      <c r="Y200" s="386">
        <f t="shared" si="178"/>
        <v>6.7264289486309248E-2</v>
      </c>
      <c r="Z200" s="603">
        <f t="shared" si="179"/>
        <v>6.7264289486309248E-2</v>
      </c>
      <c r="AA200" s="386">
        <f t="shared" si="141"/>
        <v>7.195136877758558</v>
      </c>
      <c r="AB200" s="386">
        <f t="shared" si="142"/>
        <v>0.2950889697311827</v>
      </c>
      <c r="AC200" s="386">
        <f t="shared" si="143"/>
        <v>0.35575312499999989</v>
      </c>
      <c r="AD200">
        <f t="shared" si="144"/>
        <v>0</v>
      </c>
      <c r="AE200" s="386">
        <f t="shared" si="145"/>
        <v>0.69166248898653071</v>
      </c>
      <c r="AF200" s="386">
        <f t="shared" si="146"/>
        <v>9.7976842557772823</v>
      </c>
      <c r="AG200" s="386">
        <f t="shared" si="147"/>
        <v>0.54716931562266446</v>
      </c>
      <c r="AH200" s="386">
        <f t="shared" si="148"/>
        <v>0.24</v>
      </c>
      <c r="AI200" s="386">
        <f t="shared" si="149"/>
        <v>0.88389765007732235</v>
      </c>
      <c r="AJ200" s="386">
        <f t="shared" si="150"/>
        <v>0</v>
      </c>
      <c r="AK200" s="386">
        <f t="shared" si="151"/>
        <v>0</v>
      </c>
      <c r="AL200" s="386">
        <f t="shared" si="152"/>
        <v>0</v>
      </c>
      <c r="AM200">
        <f t="shared" si="153"/>
        <v>0</v>
      </c>
      <c r="AN200" s="386">
        <f t="shared" si="154"/>
        <v>0</v>
      </c>
      <c r="AO200" s="386">
        <f t="shared" si="155"/>
        <v>12.155846801666563</v>
      </c>
      <c r="AP200" s="386">
        <f t="shared" si="156"/>
        <v>0.28075276178461567</v>
      </c>
      <c r="AQ200" s="386">
        <f t="shared" si="157"/>
        <v>0</v>
      </c>
      <c r="AR200" s="386">
        <f t="shared" si="158"/>
        <v>0.29745502578371402</v>
      </c>
      <c r="AS200" s="386">
        <f t="shared" si="159"/>
        <v>0.28075276178461567</v>
      </c>
      <c r="AT200" s="386">
        <f t="shared" si="160"/>
        <v>0</v>
      </c>
      <c r="AU200" s="386">
        <f t="shared" si="161"/>
        <v>0.54466020000000004</v>
      </c>
      <c r="AV200" s="386">
        <f t="shared" si="162"/>
        <v>0.38397846710362415</v>
      </c>
      <c r="AW200" s="386">
        <f t="shared" si="163"/>
        <v>0.59328000000000003</v>
      </c>
      <c r="AX200" s="386">
        <f t="shared" si="164"/>
        <v>3.6000000000000004E-2</v>
      </c>
      <c r="AY200" s="386">
        <f t="shared" si="165"/>
        <v>6.6000000000000003E-2</v>
      </c>
      <c r="AZ200" s="386">
        <f t="shared" si="166"/>
        <v>4.3499999999999997E-2</v>
      </c>
      <c r="BA200" s="386">
        <f t="shared" si="180"/>
        <v>0.10200000000000001</v>
      </c>
      <c r="BB200" s="386">
        <f t="shared" si="181"/>
        <v>5.2194189989700446</v>
      </c>
      <c r="BC200">
        <f t="shared" si="167"/>
        <v>144</v>
      </c>
      <c r="BD200" s="604">
        <f t="shared" si="182"/>
        <v>0.96502185148565633</v>
      </c>
      <c r="BE200" s="614">
        <f t="shared" si="168"/>
        <v>61.81613444932654</v>
      </c>
      <c r="BF200" s="614">
        <f t="shared" si="169"/>
        <v>44.194882503866118</v>
      </c>
      <c r="BG200" s="9"/>
      <c r="BH200" s="4">
        <f t="shared" si="183"/>
        <v>96.50218514856563</v>
      </c>
      <c r="BI200" s="386">
        <f t="shared" si="184"/>
        <v>1.6476916546013691</v>
      </c>
      <c r="BJ200" s="386">
        <f t="shared" si="185"/>
        <v>2.4176753648475673</v>
      </c>
      <c r="BK200" s="386">
        <f t="shared" si="186"/>
        <v>1.0636355160773223</v>
      </c>
      <c r="BL200" s="386">
        <f t="shared" si="187"/>
        <v>0.38397846710362415</v>
      </c>
    </row>
    <row r="201" spans="7:64" x14ac:dyDescent="0.2">
      <c r="G201">
        <v>192</v>
      </c>
      <c r="H201" s="610">
        <f t="shared" ref="H201:H209" si="188">VIN_min+(VIN_max-VIN_min)*(G201/200)</f>
        <v>34.799999999999997</v>
      </c>
      <c r="I201" s="4" t="str">
        <f t="shared" ref="I201:I209" si="189">IF(H201&gt;VIN_BB_to_buck, "BUCK", IF(H201&lt;VIN_boost_to_BB,"BOOST","BUCK-BST"))</f>
        <v>BUCK</v>
      </c>
      <c r="J201">
        <f t="shared" si="170"/>
        <v>1</v>
      </c>
      <c r="K201">
        <f t="shared" ref="K201:K209" si="190">Iout</f>
        <v>12</v>
      </c>
      <c r="L201" s="4">
        <f t="shared" ref="L201:L209" si="191">Vout*K201/(H201*Efficiency)</f>
        <v>4.597701149425288</v>
      </c>
      <c r="M201" s="4">
        <f t="shared" ref="M201:M209" si="192">Iout/(1-O201)</f>
        <v>12</v>
      </c>
      <c r="N201" s="386">
        <f t="shared" ref="N201:N209" si="193">CHOOSE(J201,(Vout+(Rdson2+Rs+Rdcr)*K201)/(H201+(Rs+Rdson2-Rdson1)*K201),1,IF(H201&lt;Vout,D_max_buck_BB,Vout/H201*(1-D_min_boost_exitBB_to_buck)))</f>
        <v>0.34884641873278238</v>
      </c>
      <c r="O201" s="386">
        <f t="shared" si="172"/>
        <v>0</v>
      </c>
      <c r="P201" s="4">
        <f t="shared" ref="P201:P209" si="194">MAX(0, CHOOSE(J201, (H201-(Rdson1+Rdcr)*K201-Vout)*N201/(Fsw*Lf), (H201-(Rdson4+Rdcr+Rs)*L201)*O201/(Fsw*Lf), IF(H201&lt;Vout, (H201-(Rdson4+Rdcr+Rs)*L201)*O201/(0.5*Fsw*Lf),(H201-(Rdson1+Rdcr)*K201-Vout)*N201/(0.5*Fsw*Lf))))</f>
        <v>6.7368626604536646</v>
      </c>
      <c r="Q201" s="386">
        <f t="shared" ref="Q201:Q209" si="195">CHOOSE(J201, SQRT(K201^2+(P201^2)/12), SQRT(L201^2+(P201^2)/12), SQRT(M201^2+(P201^2)/12))</f>
        <v>12.156566533173935</v>
      </c>
      <c r="R201" s="386">
        <f t="shared" si="173"/>
        <v>0.51548621159237895</v>
      </c>
      <c r="S201" s="386">
        <f t="shared" si="174"/>
        <v>1.1383340374479112</v>
      </c>
      <c r="T201" s="386">
        <f t="shared" si="175"/>
        <v>1.6538202490402902</v>
      </c>
      <c r="U201" s="4">
        <f t="shared" ref="U201:U209" si="196">IF(H201&gt;Vout, P201/SQRT(12), SQRT(O201/(1-O201))*SQRT(K201^2+(P201^2)/12))</f>
        <v>1.9447647352532309</v>
      </c>
      <c r="V201" s="386">
        <f t="shared" si="176"/>
        <v>7.5642197509691389E-3</v>
      </c>
      <c r="W201" s="386">
        <f t="shared" si="177"/>
        <v>7.5642197509691389E-3</v>
      </c>
      <c r="X201" s="386">
        <f t="shared" ref="X201:X209" si="197">IF(H201&gt;Vout, SQRT(N201*(1-N201))*SQRT(K201^2+(P201^2)/12), P201/SQRT(12))</f>
        <v>5.7938838212026438</v>
      </c>
      <c r="Y201" s="386">
        <f t="shared" si="178"/>
        <v>6.7138179467187503E-2</v>
      </c>
      <c r="Z201" s="603">
        <f t="shared" si="179"/>
        <v>6.7138179467187503E-2</v>
      </c>
      <c r="AA201" s="386">
        <f t="shared" ref="AA201:AA209" si="198">CHOOSE(J201, SQRT(N201)*SQRT(K201^2+(P201^2)/12), SQRT(L201^2+(P201^2)/12), SQRT(N201)*SQRT(M201^2+(P201^2)/12))</f>
        <v>7.1800598732070009</v>
      </c>
      <c r="AB201" s="386">
        <f t="shared" ref="AB201:AB209" si="199">Rdson1*AA201^2</f>
        <v>0.29385358076217283</v>
      </c>
      <c r="AC201" s="386">
        <f t="shared" ref="AC201:AC209" si="200">CHOOSE(J201, (H201*K201/2)*(Fsw)*(Tr_buck+Tf_buck), 0, (H201*M201/2)*(Fsw/2)*(Tr_buck+Tf_buck))</f>
        <v>0.35729318181818176</v>
      </c>
      <c r="AD201">
        <f t="shared" ref="AD201:AD209" si="201">IF(H201&gt;Vout, IF(K201&gt;P201/2,0,ABS(K201-P201/2)*Vsd_Q1*Deadtime*Fsw),0)</f>
        <v>0</v>
      </c>
      <c r="AE201" s="386">
        <f t="shared" ref="AE201:AE209" si="202">(AD201+AC201+AB201*(1+RdsonTopTc*Ta-RdsonTopTc*25))/(1-AB201*RdsonTopTc*ThetaJA_Q1)</f>
        <v>0.69180461525654102</v>
      </c>
      <c r="AF201" s="386">
        <f t="shared" ref="AF201:AF209" si="203">CHOOSE(J201, SQRT((1-N201))*SQRT(K201^2+(P201^2)/12), 0, SQRT((1-N201))*SQRT(M201^2+(P201^2)/12))</f>
        <v>9.8096304768654363</v>
      </c>
      <c r="AG201" s="386">
        <f t="shared" ref="AG201:AG209" si="204">Rdson2*AF201^2</f>
        <v>0.54850444552808908</v>
      </c>
      <c r="AH201" s="386">
        <f t="shared" ref="AH201:AH209" si="205">CHOOSE(J201, IF(K201&lt;P201/2,Deadtime*Fsw*IF(VfdSky_Q2&gt;0,0,Vsd_Q2)*(K201+P201/2),2*Deadtime*Fsw*IF(VfdSky_Q2&gt;0,0,Vsd_Q2)*K201),0, IF(K201&lt;P201/2,Deadtime*Fsw/2*IF(VfdSky_Q2&gt;0,0,Vsd_Q2)*(K201+P201/2),2*Deadtime*Fsw/2*IF(VfdSky_Q2&gt;0,0,Vsd_Q2)*K201))</f>
        <v>0.24</v>
      </c>
      <c r="AI201" s="386">
        <f t="shared" ref="AI201:AI209" si="206">(AH201+AG201*(1+RdsonBotTc*Ta-RdsonBotTc*25))/(1-AG201*RdsonBotTc*ThetaJA_Q2)</f>
        <v>0.88566239804055114</v>
      </c>
      <c r="AJ201" s="386">
        <f t="shared" ref="AJ201:AJ209" si="207">CHOOSE(J201, 0, SQRT(O201)*SQRT(L201^2+(P201^2)/12), SQRT(O201)*SQRT(M201^2+(P201^2)/12))</f>
        <v>0</v>
      </c>
      <c r="AK201" s="386">
        <f t="shared" ref="AK201:AK209" si="208">Rdson4*AJ201^2</f>
        <v>0</v>
      </c>
      <c r="AL201" s="386">
        <f t="shared" ref="AL201:AL209" si="209">CHOOSE(J201, 0, (Vout*L201/2)*(Fsw)*(Tr_boost+Tf_boost), (Vout*Iout/2)*(Fsw/2)*(Tr_boost+Tf_boost))</f>
        <v>0</v>
      </c>
      <c r="AM201">
        <f t="shared" ref="AM201:AM209" si="210">IF(H201&gt;Vout, 0, IF(L201&gt;P201/2,0,ABS(L201-P201/2)*Vsd_Q4*Deadtime*Fsw))</f>
        <v>0</v>
      </c>
      <c r="AN201" s="386">
        <f t="shared" ref="AN201:AN209" si="211">(AM201+AL201+AK201*(1+RdsonTopTc*Ta-RdsonTopTc*25))/(1-AK201*RdsonTopTc*ThetaJA_Q4)</f>
        <v>0</v>
      </c>
      <c r="AO201" s="386">
        <f t="shared" ref="AO201:AO209" si="212">CHOOSE(J201, SQRT(Iout^2+(P201^2)/12), SQRT(1-O201)*SQRT(L201^2+(P201^2)/12), SQRT(1-O201)*SQRT(M201^2+(P201^2)/12))</f>
        <v>12.156566533173935</v>
      </c>
      <c r="AP201" s="386">
        <f t="shared" ref="AP201:AP209" si="213">Rdson3*AO201^2</f>
        <v>0.28078600876342064</v>
      </c>
      <c r="AQ201" s="386">
        <f t="shared" ref="AQ201:AQ209" si="214">CHOOSE(J201, 0, IF(L201&lt;P201/2,Deadtime*Fsw*IF(VfdSky_Q3&gt;0,0,Vsd_Q3)*(L201+P201/2), 2*Deadtime*Fsw*IF(VfdSky_Q3&gt;0,0,Vsd_Q3)*L201), IF(L201&lt;P201/2,Deadtime*Fsw/2*IF(VfdSky_Q3&gt;0,0,Vsd_Q3)*(L201+P201/2), 2*Deadtime*Fsw/2*IF(VfdSky_Q3&gt;0,0,Vsd_Q3)*L201))</f>
        <v>0</v>
      </c>
      <c r="AR201" s="386">
        <f t="shared" ref="AR201:AR209" si="215">(AQ201+AP201*(1+RdsonBotTc*Ta-RdsonBotTc*25))/(1-AP201*RdsonBotTc*ThetaJA_Q3)</f>
        <v>0.29749234648484973</v>
      </c>
      <c r="AS201" s="386">
        <f t="shared" ref="AS201:AS209" si="216">CHOOSE(J201, Rdson3*Q201^2, Rdson1*Q201^2, 0)</f>
        <v>0.28078600876342064</v>
      </c>
      <c r="AT201" s="386">
        <f t="shared" ref="AT201:AT209" si="217">CHOOSE(J201, 2*Deadtime*Fsw*IF(VfdSky_Q2&gt;0,VfdSky_Q2,0)*K201, 2*Deadtime*Fsw*IF(VfdSky_Q3&gt;0,VfdSky_Q3,0)*L201, 2*Deadtime*Fsw/2*IF(VfdSky_Q2&gt;0,VfdSky_Q2,0)*K201+2*Deadtime*Fsw/2*IF(VfdSky_Q3&gt;0,VfdSky_Q3,0)*L201)</f>
        <v>0</v>
      </c>
      <c r="AU201" s="386">
        <f t="shared" ref="AU201:AU209" si="218">CHOOSE(J201, IF(QrrSky_Q2&gt;0,QrrSky_Q2,Qrr_Q2)*Fsw*(H201-K201*Rdson1), IF(QrrSky_Q3&gt;0,QrrSky_Q3,Qrr_Q3)*Fsw*Vout,  IF(QrrSky_Q2&gt;0,QrrSky_Q2,Qrr_Q2)*Fsw/2*(H201-K201*Rdson1)+IF(QrrSky_Q3&gt;0,QrrSky_Q3,Qrr_Q3)*Fsw/2*Vout)</f>
        <v>0.54702269999999997</v>
      </c>
      <c r="AV201" s="386">
        <f t="shared" ref="AV201:AV209" si="219">CHOOSE(J201, Rs*AF201^2, Rs*AJ201^2, Rs*(AF201^2+AJ201^2))</f>
        <v>0.38491540037058886</v>
      </c>
      <c r="AW201" s="386">
        <f t="shared" ref="AW201:AW209" si="220">Rshunt_std/1000*Iout^2</f>
        <v>0.59328000000000003</v>
      </c>
      <c r="AX201" s="386">
        <f t="shared" ref="AX201:AX209" si="221">IF(Vout&gt;8, Iq*Vout, Iq*H201)</f>
        <v>3.6000000000000004E-2</v>
      </c>
      <c r="AY201" s="386">
        <f t="shared" ref="AY201:AY209" si="222">CHOOSE(J201, (Qg_Q1+Qg_Q2)*Fsw, (Qg_Q3+Qg_Q4)*Fsw, (Qg_Q1+Qg_Q2+Qg_Q3+Qg_Q4)*Fsw/2)*IF(Vout&gt;8, Vout, H201)</f>
        <v>6.6000000000000003E-2</v>
      </c>
      <c r="AZ201" s="386">
        <f t="shared" ref="AZ201:AZ209" si="223">(Vin-Vdd)*Fsw*(Qg_Q1+Qg_Q2)+(RdsonDRT+RdsonDRT2)*Fsw*Qg_Q1*Vdd/(RdsonDRT+2*Rgate1+RdsonDRT2)+(RdsonDRB+RdsonDRB2)*Fsw*Qg_Q2*Vdd/(RdsonDRB+2*Rgate2+RdsonDRB2)</f>
        <v>4.3499999999999997E-2</v>
      </c>
      <c r="BA201" s="386">
        <f t="shared" si="180"/>
        <v>0.10200000000000001</v>
      </c>
      <c r="BB201" s="386">
        <f t="shared" si="181"/>
        <v>5.2307001084109777</v>
      </c>
      <c r="BC201">
        <f t="shared" ref="BC201:BC209" si="224">Vout*K201</f>
        <v>144</v>
      </c>
      <c r="BD201" s="604">
        <f t="shared" si="182"/>
        <v>0.96494890056395188</v>
      </c>
      <c r="BE201" s="614">
        <f t="shared" ref="BE201:BE209" si="225">IF(H201&gt;Vout,ThetaJA_Q1*(AE201+AU201),ThetaJA_Q4*(AN201+AU201))</f>
        <v>61.941365762827047</v>
      </c>
      <c r="BF201" s="614">
        <f t="shared" ref="BF201:BF209" si="226">IF(H201&gt;Vout, AI201*ThetaJA_Q2, ThetaJA_Q3*AR201)</f>
        <v>44.283119902027558</v>
      </c>
      <c r="BG201" s="9"/>
      <c r="BH201" s="4">
        <f t="shared" si="183"/>
        <v>96.494890056395192</v>
      </c>
      <c r="BI201" s="386">
        <f t="shared" si="184"/>
        <v>1.6538202490402902</v>
      </c>
      <c r="BJ201" s="386">
        <f t="shared" si="185"/>
        <v>2.4219820597819419</v>
      </c>
      <c r="BK201" s="386">
        <f t="shared" si="186"/>
        <v>1.0661798890405512</v>
      </c>
      <c r="BL201" s="386">
        <f t="shared" si="187"/>
        <v>0.38491540037058886</v>
      </c>
    </row>
    <row r="202" spans="7:64" x14ac:dyDescent="0.2">
      <c r="G202">
        <v>193</v>
      </c>
      <c r="H202" s="610">
        <f t="shared" si="188"/>
        <v>34.950000000000003</v>
      </c>
      <c r="I202" s="4" t="str">
        <f t="shared" si="189"/>
        <v>BUCK</v>
      </c>
      <c r="J202">
        <f t="shared" ref="J202:J209" si="227">IF(I202="BOOST",2, IF(I202="BUCK", 1,3))</f>
        <v>1</v>
      </c>
      <c r="K202">
        <f t="shared" si="190"/>
        <v>12</v>
      </c>
      <c r="L202" s="4">
        <f t="shared" si="191"/>
        <v>4.5779685264663801</v>
      </c>
      <c r="M202" s="4">
        <f t="shared" si="192"/>
        <v>12</v>
      </c>
      <c r="N202" s="386">
        <f t="shared" si="193"/>
        <v>0.34735127721584086</v>
      </c>
      <c r="O202" s="386">
        <f t="shared" ref="O202:O209" si="228">CHOOSE(J202,0,(Vout+(Rdson3+Rdcr)*L202-H202)/(Vout+(Rdson3-Rdson4-Rs)*L202),IF(H202&gt;Vout,D_min_boost_exitBB_to_buck, (Vout-H202*D_max_buck_BB)/Vout))</f>
        <v>0</v>
      </c>
      <c r="P202" s="4">
        <f t="shared" si="194"/>
        <v>6.7523314582109846</v>
      </c>
      <c r="Q202" s="386">
        <f t="shared" si="195"/>
        <v>12.157281700423914</v>
      </c>
      <c r="R202" s="386">
        <f t="shared" si="173"/>
        <v>0.51554936677584173</v>
      </c>
      <c r="S202" s="386">
        <f t="shared" si="174"/>
        <v>1.1443651982102236</v>
      </c>
      <c r="T202" s="386">
        <f t="shared" si="175"/>
        <v>1.6599145649860654</v>
      </c>
      <c r="U202" s="4">
        <f t="shared" si="196"/>
        <v>1.9492301925278452</v>
      </c>
      <c r="V202" s="386">
        <f t="shared" si="176"/>
        <v>7.5989966869242816E-3</v>
      </c>
      <c r="W202" s="386">
        <f t="shared" si="177"/>
        <v>7.5989966869242816E-3</v>
      </c>
      <c r="X202" s="386">
        <f t="shared" si="197"/>
        <v>5.7884285416497452</v>
      </c>
      <c r="Y202" s="386">
        <f t="shared" si="178"/>
        <v>6.7011809963570798E-2</v>
      </c>
      <c r="Z202" s="603">
        <f t="shared" si="179"/>
        <v>6.7011809963570798E-2</v>
      </c>
      <c r="AA202" s="386">
        <f t="shared" si="198"/>
        <v>7.1650781238910541</v>
      </c>
      <c r="AB202" s="386">
        <f t="shared" si="199"/>
        <v>0.29262856377233426</v>
      </c>
      <c r="AC202" s="386">
        <f t="shared" si="200"/>
        <v>0.35883323863636368</v>
      </c>
      <c r="AD202">
        <f t="shared" si="201"/>
        <v>0</v>
      </c>
      <c r="AE202" s="386">
        <f t="shared" si="202"/>
        <v>0.6919592082696987</v>
      </c>
      <c r="AF202" s="386">
        <f t="shared" si="203"/>
        <v>9.8214639347706214</v>
      </c>
      <c r="AG202" s="386">
        <f t="shared" si="204"/>
        <v>0.54982857678540009</v>
      </c>
      <c r="AH202" s="386">
        <f t="shared" si="205"/>
        <v>0.24</v>
      </c>
      <c r="AI202" s="386">
        <f t="shared" si="206"/>
        <v>0.88741365407319983</v>
      </c>
      <c r="AJ202" s="386">
        <f t="shared" si="207"/>
        <v>0</v>
      </c>
      <c r="AK202" s="386">
        <f t="shared" si="208"/>
        <v>0</v>
      </c>
      <c r="AL202" s="386">
        <f t="shared" si="209"/>
        <v>0</v>
      </c>
      <c r="AM202">
        <f t="shared" si="210"/>
        <v>0</v>
      </c>
      <c r="AN202" s="386">
        <f t="shared" si="211"/>
        <v>0</v>
      </c>
      <c r="AO202" s="386">
        <f t="shared" si="212"/>
        <v>12.157281700423914</v>
      </c>
      <c r="AP202" s="386">
        <f t="shared" si="213"/>
        <v>0.28081904685257814</v>
      </c>
      <c r="AQ202" s="386">
        <f t="shared" si="214"/>
        <v>0</v>
      </c>
      <c r="AR202" s="386">
        <f t="shared" si="215"/>
        <v>0.29752943322218661</v>
      </c>
      <c r="AS202" s="386">
        <f t="shared" si="216"/>
        <v>0.28081904685257814</v>
      </c>
      <c r="AT202" s="386">
        <f t="shared" si="217"/>
        <v>0</v>
      </c>
      <c r="AU202" s="386">
        <f t="shared" si="218"/>
        <v>0.54938520000000013</v>
      </c>
      <c r="AV202" s="386">
        <f t="shared" si="219"/>
        <v>0.38584461528800007</v>
      </c>
      <c r="AW202" s="386">
        <f t="shared" si="220"/>
        <v>0.59328000000000003</v>
      </c>
      <c r="AX202" s="386">
        <f t="shared" si="221"/>
        <v>3.6000000000000004E-2</v>
      </c>
      <c r="AY202" s="386">
        <f t="shared" si="222"/>
        <v>6.6000000000000003E-2</v>
      </c>
      <c r="AZ202" s="386">
        <f t="shared" si="223"/>
        <v>4.3499999999999997E-2</v>
      </c>
      <c r="BA202" s="386">
        <f t="shared" si="180"/>
        <v>0.10200000000000001</v>
      </c>
      <c r="BB202" s="386">
        <f t="shared" si="181"/>
        <v>5.2419374824896456</v>
      </c>
      <c r="BC202">
        <f t="shared" si="224"/>
        <v>144</v>
      </c>
      <c r="BD202" s="604">
        <f t="shared" si="182"/>
        <v>0.96487624342785905</v>
      </c>
      <c r="BE202" s="614">
        <f t="shared" si="225"/>
        <v>62.067220413484932</v>
      </c>
      <c r="BF202" s="614">
        <f t="shared" si="226"/>
        <v>44.370682703659995</v>
      </c>
      <c r="BG202" s="9"/>
      <c r="BH202" s="4">
        <f t="shared" si="183"/>
        <v>96.487624342785907</v>
      </c>
      <c r="BI202" s="386">
        <f t="shared" si="184"/>
        <v>1.6599145649860654</v>
      </c>
      <c r="BJ202" s="386">
        <f t="shared" si="185"/>
        <v>2.4262874955650853</v>
      </c>
      <c r="BK202" s="386">
        <f t="shared" si="186"/>
        <v>1.0687107700731999</v>
      </c>
      <c r="BL202" s="386">
        <f t="shared" si="187"/>
        <v>0.38584461528800007</v>
      </c>
    </row>
    <row r="203" spans="7:64" x14ac:dyDescent="0.2">
      <c r="G203">
        <v>194</v>
      </c>
      <c r="H203" s="610">
        <f t="shared" si="188"/>
        <v>35.099999999999994</v>
      </c>
      <c r="I203" s="4" t="str">
        <f t="shared" si="189"/>
        <v>BUCK</v>
      </c>
      <c r="J203">
        <f t="shared" si="227"/>
        <v>1</v>
      </c>
      <c r="K203">
        <f t="shared" si="190"/>
        <v>12</v>
      </c>
      <c r="L203" s="4">
        <f t="shared" si="191"/>
        <v>4.5584045584045594</v>
      </c>
      <c r="M203" s="4">
        <f t="shared" si="192"/>
        <v>12</v>
      </c>
      <c r="N203" s="386">
        <f t="shared" si="193"/>
        <v>0.34586889723455105</v>
      </c>
      <c r="O203" s="386">
        <f t="shared" si="228"/>
        <v>0</v>
      </c>
      <c r="P203" s="4">
        <f t="shared" si="194"/>
        <v>6.7676682245774078</v>
      </c>
      <c r="Q203" s="386">
        <f t="shared" si="195"/>
        <v>12.15799234111028</v>
      </c>
      <c r="R203" s="386">
        <f t="shared" si="173"/>
        <v>0.51561212651353694</v>
      </c>
      <c r="S203" s="386">
        <f t="shared" si="174"/>
        <v>1.1503626944878607</v>
      </c>
      <c r="T203" s="386">
        <f t="shared" si="175"/>
        <v>1.6659748210013976</v>
      </c>
      <c r="U203" s="4">
        <f t="shared" si="196"/>
        <v>1.9536575356229215</v>
      </c>
      <c r="V203" s="386">
        <f t="shared" si="176"/>
        <v>7.6335555329924542E-3</v>
      </c>
      <c r="W203" s="386">
        <f t="shared" si="177"/>
        <v>7.6335555329924542E-3</v>
      </c>
      <c r="X203" s="386">
        <f t="shared" si="197"/>
        <v>5.782957756151986</v>
      </c>
      <c r="Y203" s="386">
        <f t="shared" si="178"/>
        <v>6.6885200818876833E-2</v>
      </c>
      <c r="Z203" s="603">
        <f t="shared" si="179"/>
        <v>6.6885200818876833E-2</v>
      </c>
      <c r="AA203" s="386">
        <f t="shared" si="198"/>
        <v>7.1501906211556872</v>
      </c>
      <c r="AB203" s="386">
        <f t="shared" si="199"/>
        <v>0.29141378773751769</v>
      </c>
      <c r="AC203" s="386">
        <f t="shared" si="200"/>
        <v>0.36037329545454538</v>
      </c>
      <c r="AD203">
        <f t="shared" si="201"/>
        <v>0</v>
      </c>
      <c r="AE203" s="386">
        <f t="shared" si="202"/>
        <v>0.69212610092454752</v>
      </c>
      <c r="AF203" s="386">
        <f t="shared" si="203"/>
        <v>9.833186251039562</v>
      </c>
      <c r="AG203" s="386">
        <f t="shared" si="204"/>
        <v>0.5511418455315108</v>
      </c>
      <c r="AH203" s="386">
        <f t="shared" si="205"/>
        <v>0.24</v>
      </c>
      <c r="AI203" s="386">
        <f t="shared" si="206"/>
        <v>0.88915157335020667</v>
      </c>
      <c r="AJ203" s="386">
        <f t="shared" si="207"/>
        <v>0</v>
      </c>
      <c r="AK203" s="386">
        <f t="shared" si="208"/>
        <v>0</v>
      </c>
      <c r="AL203" s="386">
        <f t="shared" si="209"/>
        <v>0</v>
      </c>
      <c r="AM203">
        <f t="shared" si="210"/>
        <v>0</v>
      </c>
      <c r="AN203" s="386">
        <f t="shared" si="211"/>
        <v>0</v>
      </c>
      <c r="AO203" s="386">
        <f t="shared" si="212"/>
        <v>12.15799234111028</v>
      </c>
      <c r="AP203" s="386">
        <f t="shared" si="213"/>
        <v>0.28085187775634279</v>
      </c>
      <c r="AQ203" s="386">
        <f t="shared" si="214"/>
        <v>0</v>
      </c>
      <c r="AR203" s="386">
        <f t="shared" si="215"/>
        <v>0.29756628789902811</v>
      </c>
      <c r="AS203" s="386">
        <f t="shared" si="216"/>
        <v>0.28085187775634279</v>
      </c>
      <c r="AT203" s="386">
        <f t="shared" si="217"/>
        <v>0</v>
      </c>
      <c r="AU203" s="386">
        <f t="shared" si="218"/>
        <v>0.55174769999999995</v>
      </c>
      <c r="AV203" s="386">
        <f t="shared" si="219"/>
        <v>0.38676620739053391</v>
      </c>
      <c r="AW203" s="386">
        <f t="shared" si="220"/>
        <v>0.59328000000000003</v>
      </c>
      <c r="AX203" s="386">
        <f t="shared" si="221"/>
        <v>3.6000000000000004E-2</v>
      </c>
      <c r="AY203" s="386">
        <f t="shared" si="222"/>
        <v>6.6000000000000003E-2</v>
      </c>
      <c r="AZ203" s="386">
        <f t="shared" si="223"/>
        <v>4.3499999999999997E-2</v>
      </c>
      <c r="BA203" s="386">
        <f t="shared" si="180"/>
        <v>0.10200000000000001</v>
      </c>
      <c r="BB203" s="386">
        <f t="shared" si="181"/>
        <v>5.2531314469175827</v>
      </c>
      <c r="BC203">
        <f t="shared" si="224"/>
        <v>144</v>
      </c>
      <c r="BD203" s="604">
        <f t="shared" si="182"/>
        <v>0.96480387784167942</v>
      </c>
      <c r="BE203" s="614">
        <f t="shared" si="225"/>
        <v>62.193690046227367</v>
      </c>
      <c r="BF203" s="614">
        <f t="shared" si="226"/>
        <v>44.457578667510333</v>
      </c>
      <c r="BG203" s="9"/>
      <c r="BH203" s="4">
        <f t="shared" si="183"/>
        <v>96.480387784167945</v>
      </c>
      <c r="BI203" s="386">
        <f t="shared" si="184"/>
        <v>1.6659748210013976</v>
      </c>
      <c r="BJ203" s="386">
        <f t="shared" si="185"/>
        <v>2.4305916621737822</v>
      </c>
      <c r="BK203" s="386">
        <f t="shared" si="186"/>
        <v>1.0712283143502066</v>
      </c>
      <c r="BL203" s="386">
        <f t="shared" si="187"/>
        <v>0.38676620739053391</v>
      </c>
    </row>
    <row r="204" spans="7:64" x14ac:dyDescent="0.2">
      <c r="G204">
        <v>195</v>
      </c>
      <c r="H204" s="610">
        <f t="shared" si="188"/>
        <v>35.25</v>
      </c>
      <c r="I204" s="4" t="str">
        <f t="shared" si="189"/>
        <v>BUCK</v>
      </c>
      <c r="J204">
        <f t="shared" si="227"/>
        <v>1</v>
      </c>
      <c r="K204">
        <f t="shared" si="190"/>
        <v>12</v>
      </c>
      <c r="L204" s="4">
        <f t="shared" si="191"/>
        <v>4.539007092198581</v>
      </c>
      <c r="M204" s="4">
        <f t="shared" si="192"/>
        <v>12</v>
      </c>
      <c r="N204" s="386">
        <f t="shared" si="193"/>
        <v>0.34439911609722929</v>
      </c>
      <c r="O204" s="386">
        <f t="shared" si="228"/>
        <v>0</v>
      </c>
      <c r="P204" s="4">
        <f t="shared" si="194"/>
        <v>6.782874642768018</v>
      </c>
      <c r="Q204" s="386">
        <f t="shared" si="195"/>
        <v>12.158698492641339</v>
      </c>
      <c r="R204" s="386">
        <f t="shared" si="173"/>
        <v>0.51567449402793797</v>
      </c>
      <c r="S204" s="386">
        <f t="shared" si="174"/>
        <v>1.1563267414062384</v>
      </c>
      <c r="T204" s="386">
        <f t="shared" si="175"/>
        <v>1.6720012354341764</v>
      </c>
      <c r="U204" s="4">
        <f t="shared" si="196"/>
        <v>1.9580472504408011</v>
      </c>
      <c r="V204" s="386">
        <f t="shared" si="176"/>
        <v>7.6678980699175624E-3</v>
      </c>
      <c r="W204" s="386">
        <f t="shared" si="177"/>
        <v>7.6678980699175624E-3</v>
      </c>
      <c r="X204" s="386">
        <f t="shared" si="197"/>
        <v>5.7774722529452811</v>
      </c>
      <c r="Y204" s="386">
        <f t="shared" si="178"/>
        <v>6.6758371267105251E-2</v>
      </c>
      <c r="Z204" s="603">
        <f t="shared" si="179"/>
        <v>6.6758371267105251E-2</v>
      </c>
      <c r="AA204" s="386">
        <f t="shared" si="198"/>
        <v>7.1353963713869915</v>
      </c>
      <c r="AB204" s="386">
        <f t="shared" si="199"/>
        <v>0.29020912384777509</v>
      </c>
      <c r="AC204" s="386">
        <f t="shared" si="200"/>
        <v>0.36191335227272725</v>
      </c>
      <c r="AD204">
        <f t="shared" si="201"/>
        <v>0</v>
      </c>
      <c r="AE204" s="386">
        <f t="shared" si="202"/>
        <v>0.69230512911145348</v>
      </c>
      <c r="AF204" s="386">
        <f t="shared" si="203"/>
        <v>9.8447990156303398</v>
      </c>
      <c r="AG204" s="386">
        <f t="shared" si="204"/>
        <v>0.55244438565148979</v>
      </c>
      <c r="AH204" s="386">
        <f t="shared" si="205"/>
        <v>0.24</v>
      </c>
      <c r="AI204" s="386">
        <f t="shared" si="206"/>
        <v>0.89087630865698475</v>
      </c>
      <c r="AJ204" s="386">
        <f t="shared" si="207"/>
        <v>0</v>
      </c>
      <c r="AK204" s="386">
        <f t="shared" si="208"/>
        <v>0</v>
      </c>
      <c r="AL204" s="386">
        <f t="shared" si="209"/>
        <v>0</v>
      </c>
      <c r="AM204">
        <f t="shared" si="210"/>
        <v>0</v>
      </c>
      <c r="AN204" s="386">
        <f t="shared" si="211"/>
        <v>0</v>
      </c>
      <c r="AO204" s="386">
        <f t="shared" si="212"/>
        <v>12.158698492641339</v>
      </c>
      <c r="AP204" s="386">
        <f t="shared" si="213"/>
        <v>0.28088450316642161</v>
      </c>
      <c r="AQ204" s="386">
        <f t="shared" si="214"/>
        <v>0</v>
      </c>
      <c r="AR204" s="386">
        <f t="shared" si="215"/>
        <v>0.29760291240475978</v>
      </c>
      <c r="AS204" s="386">
        <f t="shared" si="216"/>
        <v>0.28088450316642161</v>
      </c>
      <c r="AT204" s="386">
        <f t="shared" si="217"/>
        <v>0</v>
      </c>
      <c r="AU204" s="386">
        <f t="shared" si="218"/>
        <v>0.5541102</v>
      </c>
      <c r="AV204" s="386">
        <f t="shared" si="219"/>
        <v>0.38768027063262439</v>
      </c>
      <c r="AW204" s="386">
        <f t="shared" si="220"/>
        <v>0.59328000000000003</v>
      </c>
      <c r="AX204" s="386">
        <f t="shared" si="221"/>
        <v>3.6000000000000004E-2</v>
      </c>
      <c r="AY204" s="386">
        <f t="shared" si="222"/>
        <v>6.6000000000000003E-2</v>
      </c>
      <c r="AZ204" s="386">
        <f t="shared" si="223"/>
        <v>4.3499999999999997E-2</v>
      </c>
      <c r="BA204" s="386">
        <f t="shared" si="180"/>
        <v>0.10200000000000001</v>
      </c>
      <c r="BB204" s="386">
        <f t="shared" si="181"/>
        <v>5.2642823255770219</v>
      </c>
      <c r="BC204">
        <f t="shared" si="224"/>
        <v>144</v>
      </c>
      <c r="BD204" s="604">
        <f t="shared" si="182"/>
        <v>0.96473180158335192</v>
      </c>
      <c r="BE204" s="614">
        <f t="shared" si="225"/>
        <v>62.320766455572674</v>
      </c>
      <c r="BF204" s="614">
        <f t="shared" si="226"/>
        <v>44.543815432849236</v>
      </c>
      <c r="BG204" s="9"/>
      <c r="BH204" s="4">
        <f t="shared" si="183"/>
        <v>96.473180158335197</v>
      </c>
      <c r="BI204" s="386">
        <f t="shared" si="184"/>
        <v>1.6720012354341764</v>
      </c>
      <c r="BJ204" s="386">
        <f t="shared" si="185"/>
        <v>2.4348945501731976</v>
      </c>
      <c r="BK204" s="386">
        <f t="shared" si="186"/>
        <v>1.0737326746569849</v>
      </c>
      <c r="BL204" s="386">
        <f t="shared" si="187"/>
        <v>0.38768027063262439</v>
      </c>
    </row>
    <row r="205" spans="7:64" x14ac:dyDescent="0.2">
      <c r="G205">
        <v>196</v>
      </c>
      <c r="H205" s="610">
        <f t="shared" si="188"/>
        <v>35.4</v>
      </c>
      <c r="I205" s="4" t="str">
        <f t="shared" si="189"/>
        <v>BUCK</v>
      </c>
      <c r="J205">
        <f t="shared" si="227"/>
        <v>1</v>
      </c>
      <c r="K205">
        <f t="shared" si="190"/>
        <v>12</v>
      </c>
      <c r="L205" s="4">
        <f t="shared" si="191"/>
        <v>4.5197740112994351</v>
      </c>
      <c r="M205" s="4">
        <f t="shared" si="192"/>
        <v>12</v>
      </c>
      <c r="N205" s="386">
        <f t="shared" si="193"/>
        <v>0.34294177386594443</v>
      </c>
      <c r="O205" s="386">
        <f t="shared" si="228"/>
        <v>0</v>
      </c>
      <c r="P205" s="4">
        <f t="shared" si="194"/>
        <v>6.7979523675074516</v>
      </c>
      <c r="Q205" s="386">
        <f t="shared" si="195"/>
        <v>12.159400192138387</v>
      </c>
      <c r="R205" s="386">
        <f t="shared" si="173"/>
        <v>0.51573647251757093</v>
      </c>
      <c r="S205" s="386">
        <f t="shared" si="174"/>
        <v>1.1622575538359541</v>
      </c>
      <c r="T205" s="386">
        <f t="shared" si="175"/>
        <v>1.6779940263535251</v>
      </c>
      <c r="U205" s="4">
        <f t="shared" si="196"/>
        <v>1.9623998146593407</v>
      </c>
      <c r="V205" s="386">
        <f t="shared" si="176"/>
        <v>7.7020260651500293E-3</v>
      </c>
      <c r="W205" s="386">
        <f t="shared" si="177"/>
        <v>7.7020260651500293E-3</v>
      </c>
      <c r="X205" s="386">
        <f t="shared" si="197"/>
        <v>5.7719727975515349</v>
      </c>
      <c r="Y205" s="386">
        <f t="shared" si="178"/>
        <v>6.6631339951349788E-2</v>
      </c>
      <c r="Z205" s="603">
        <f t="shared" si="179"/>
        <v>6.6631339951349788E-2</v>
      </c>
      <c r="AA205" s="386">
        <f t="shared" si="198"/>
        <v>7.1206943957221025</v>
      </c>
      <c r="AB205" s="386">
        <f t="shared" si="199"/>
        <v>0.28901444546042854</v>
      </c>
      <c r="AC205" s="386">
        <f t="shared" si="200"/>
        <v>0.36345340909090901</v>
      </c>
      <c r="AD205">
        <f t="shared" si="201"/>
        <v>0</v>
      </c>
      <c r="AE205" s="386">
        <f t="shared" si="202"/>
        <v>0.69249613164554336</v>
      </c>
      <c r="AF205" s="386">
        <f t="shared" si="203"/>
        <v>9.8563037876937862</v>
      </c>
      <c r="AG205" s="386">
        <f t="shared" si="204"/>
        <v>0.55373632882524915</v>
      </c>
      <c r="AH205" s="386">
        <f t="shared" si="205"/>
        <v>0.24</v>
      </c>
      <c r="AI205" s="386">
        <f t="shared" si="206"/>
        <v>0.89258801043566471</v>
      </c>
      <c r="AJ205" s="386">
        <f t="shared" si="207"/>
        <v>0</v>
      </c>
      <c r="AK205" s="386">
        <f t="shared" si="208"/>
        <v>0</v>
      </c>
      <c r="AL205" s="386">
        <f t="shared" si="209"/>
        <v>0</v>
      </c>
      <c r="AM205">
        <f t="shared" si="210"/>
        <v>0</v>
      </c>
      <c r="AN205" s="386">
        <f t="shared" si="211"/>
        <v>0</v>
      </c>
      <c r="AO205" s="386">
        <f t="shared" si="212"/>
        <v>12.159400192138387</v>
      </c>
      <c r="AP205" s="386">
        <f t="shared" si="213"/>
        <v>0.28091692476189256</v>
      </c>
      <c r="AQ205" s="386">
        <f t="shared" si="214"/>
        <v>0</v>
      </c>
      <c r="AR205" s="386">
        <f t="shared" si="215"/>
        <v>0.29763930861475513</v>
      </c>
      <c r="AS205" s="386">
        <f t="shared" si="216"/>
        <v>0.28091692476189256</v>
      </c>
      <c r="AT205" s="386">
        <f t="shared" si="217"/>
        <v>0</v>
      </c>
      <c r="AU205" s="386">
        <f t="shared" si="218"/>
        <v>0.55647270000000004</v>
      </c>
      <c r="AV205" s="386">
        <f t="shared" si="219"/>
        <v>0.38858689742122748</v>
      </c>
      <c r="AW205" s="386">
        <f t="shared" si="220"/>
        <v>0.59328000000000003</v>
      </c>
      <c r="AX205" s="386">
        <f t="shared" si="221"/>
        <v>3.6000000000000004E-2</v>
      </c>
      <c r="AY205" s="386">
        <f t="shared" si="222"/>
        <v>6.6000000000000003E-2</v>
      </c>
      <c r="AZ205" s="386">
        <f t="shared" si="223"/>
        <v>4.3499999999999997E-2</v>
      </c>
      <c r="BA205" s="386">
        <f t="shared" si="180"/>
        <v>0.10200000000000001</v>
      </c>
      <c r="BB205" s="386">
        <f t="shared" si="181"/>
        <v>5.2753904404872163</v>
      </c>
      <c r="BC205">
        <f t="shared" si="224"/>
        <v>144</v>
      </c>
      <c r="BD205" s="604">
        <f t="shared" si="182"/>
        <v>0.96466001244464739</v>
      </c>
      <c r="BE205" s="614">
        <f t="shared" si="225"/>
        <v>62.448441582277169</v>
      </c>
      <c r="BF205" s="614">
        <f t="shared" si="226"/>
        <v>44.629400521783239</v>
      </c>
      <c r="BG205" s="9"/>
      <c r="BH205" s="4">
        <f t="shared" si="183"/>
        <v>96.466001244464735</v>
      </c>
      <c r="BI205" s="386">
        <f t="shared" si="184"/>
        <v>1.6779940263535251</v>
      </c>
      <c r="BJ205" s="386">
        <f t="shared" si="185"/>
        <v>2.4391961506959632</v>
      </c>
      <c r="BK205" s="386">
        <f t="shared" si="186"/>
        <v>1.0762240014356648</v>
      </c>
      <c r="BL205" s="386">
        <f t="shared" si="187"/>
        <v>0.38858689742122748</v>
      </c>
    </row>
    <row r="206" spans="7:64" x14ac:dyDescent="0.2">
      <c r="G206">
        <v>197</v>
      </c>
      <c r="H206" s="610">
        <f t="shared" si="188"/>
        <v>35.549999999999997</v>
      </c>
      <c r="I206" s="4" t="str">
        <f t="shared" si="189"/>
        <v>BUCK</v>
      </c>
      <c r="J206">
        <f t="shared" si="227"/>
        <v>1</v>
      </c>
      <c r="K206">
        <f t="shared" si="190"/>
        <v>12</v>
      </c>
      <c r="L206" s="4">
        <f t="shared" si="191"/>
        <v>4.5007032348804508</v>
      </c>
      <c r="M206" s="4">
        <f t="shared" si="192"/>
        <v>12</v>
      </c>
      <c r="N206" s="386">
        <f t="shared" si="193"/>
        <v>0.3414967132984999</v>
      </c>
      <c r="O206" s="386">
        <f t="shared" si="228"/>
        <v>0</v>
      </c>
      <c r="P206" s="4">
        <f t="shared" si="194"/>
        <v>6.8129030256301721</v>
      </c>
      <c r="Q206" s="386">
        <f t="shared" si="195"/>
        <v>12.160097476434419</v>
      </c>
      <c r="R206" s="386">
        <f t="shared" si="173"/>
        <v>0.51579806515687876</v>
      </c>
      <c r="S206" s="386">
        <f t="shared" si="174"/>
        <v>1.1681553463321994</v>
      </c>
      <c r="T206" s="386">
        <f t="shared" si="175"/>
        <v>1.6839534114890782</v>
      </c>
      <c r="U206" s="4">
        <f t="shared" si="196"/>
        <v>1.9667156979051981</v>
      </c>
      <c r="V206" s="386">
        <f t="shared" si="176"/>
        <v>7.7359412727734606E-3</v>
      </c>
      <c r="W206" s="386">
        <f t="shared" si="177"/>
        <v>7.7359412727734606E-3</v>
      </c>
      <c r="X206" s="386">
        <f t="shared" si="197"/>
        <v>5.7664601334658636</v>
      </c>
      <c r="Y206" s="386">
        <f t="shared" si="178"/>
        <v>6.6504124941702283E-2</v>
      </c>
      <c r="Z206" s="603">
        <f t="shared" si="179"/>
        <v>6.6504124941702283E-2</v>
      </c>
      <c r="AA206" s="386">
        <f t="shared" si="198"/>
        <v>7.1060837297660067</v>
      </c>
      <c r="AB206" s="386">
        <f t="shared" si="199"/>
        <v>0.28782962805433743</v>
      </c>
      <c r="AC206" s="386">
        <f t="shared" si="200"/>
        <v>0.36499346590909082</v>
      </c>
      <c r="AD206">
        <f t="shared" si="201"/>
        <v>0</v>
      </c>
      <c r="AE206" s="386">
        <f t="shared" si="202"/>
        <v>0.692698950201451</v>
      </c>
      <c r="AF206" s="386">
        <f t="shared" si="203"/>
        <v>9.8677020963313229</v>
      </c>
      <c r="AG206" s="386">
        <f t="shared" si="204"/>
        <v>0.55501780457306704</v>
      </c>
      <c r="AH206" s="386">
        <f t="shared" si="205"/>
        <v>0.24</v>
      </c>
      <c r="AI206" s="386">
        <f t="shared" si="206"/>
        <v>0.89428682683025562</v>
      </c>
      <c r="AJ206" s="386">
        <f t="shared" si="207"/>
        <v>0</v>
      </c>
      <c r="AK206" s="386">
        <f t="shared" si="208"/>
        <v>0</v>
      </c>
      <c r="AL206" s="386">
        <f t="shared" si="209"/>
        <v>0</v>
      </c>
      <c r="AM206">
        <f t="shared" si="210"/>
        <v>0</v>
      </c>
      <c r="AN206" s="386">
        <f t="shared" si="211"/>
        <v>0</v>
      </c>
      <c r="AO206" s="386">
        <f t="shared" si="212"/>
        <v>12.160097476434419</v>
      </c>
      <c r="AP206" s="386">
        <f t="shared" si="213"/>
        <v>0.2809491442091348</v>
      </c>
      <c r="AQ206" s="386">
        <f t="shared" si="214"/>
        <v>0</v>
      </c>
      <c r="AR206" s="386">
        <f t="shared" si="215"/>
        <v>0.2976754783902944</v>
      </c>
      <c r="AS206" s="386">
        <f t="shared" si="216"/>
        <v>0.2809491442091348</v>
      </c>
      <c r="AT206" s="386">
        <f t="shared" si="217"/>
        <v>0</v>
      </c>
      <c r="AU206" s="386">
        <f t="shared" si="218"/>
        <v>0.55883519999999998</v>
      </c>
      <c r="AV206" s="386">
        <f t="shared" si="219"/>
        <v>0.38948617864776636</v>
      </c>
      <c r="AW206" s="386">
        <f t="shared" si="220"/>
        <v>0.59328000000000003</v>
      </c>
      <c r="AX206" s="386">
        <f t="shared" si="221"/>
        <v>3.6000000000000004E-2</v>
      </c>
      <c r="AY206" s="386">
        <f t="shared" si="222"/>
        <v>6.6000000000000003E-2</v>
      </c>
      <c r="AZ206" s="386">
        <f t="shared" si="223"/>
        <v>4.3499999999999997E-2</v>
      </c>
      <c r="BA206" s="386">
        <f t="shared" si="180"/>
        <v>0.10200000000000001</v>
      </c>
      <c r="BB206" s="386">
        <f t="shared" si="181"/>
        <v>5.2864561117733215</v>
      </c>
      <c r="BC206">
        <f t="shared" si="224"/>
        <v>144</v>
      </c>
      <c r="BD206" s="604">
        <f t="shared" si="182"/>
        <v>0.96458850823134767</v>
      </c>
      <c r="BE206" s="614">
        <f t="shared" si="225"/>
        <v>62.576707510072552</v>
      </c>
      <c r="BF206" s="614">
        <f t="shared" si="226"/>
        <v>44.714341341512778</v>
      </c>
      <c r="BG206" s="9"/>
      <c r="BH206" s="4">
        <f t="shared" si="183"/>
        <v>96.458850823134767</v>
      </c>
      <c r="BI206" s="386">
        <f t="shared" si="184"/>
        <v>1.6839534114890782</v>
      </c>
      <c r="BJ206" s="386">
        <f t="shared" si="185"/>
        <v>2.4434964554220011</v>
      </c>
      <c r="BK206" s="386">
        <f t="shared" si="186"/>
        <v>1.0787024428302556</v>
      </c>
      <c r="BL206" s="386">
        <f t="shared" si="187"/>
        <v>0.38948617864776636</v>
      </c>
    </row>
    <row r="207" spans="7:64" x14ac:dyDescent="0.2">
      <c r="G207">
        <v>198</v>
      </c>
      <c r="H207" s="610">
        <f t="shared" si="188"/>
        <v>35.700000000000003</v>
      </c>
      <c r="I207" s="4" t="str">
        <f t="shared" si="189"/>
        <v>BUCK</v>
      </c>
      <c r="J207">
        <f t="shared" si="227"/>
        <v>1</v>
      </c>
      <c r="K207">
        <f t="shared" si="190"/>
        <v>12</v>
      </c>
      <c r="L207" s="4">
        <f t="shared" si="191"/>
        <v>4.4817927170868348</v>
      </c>
      <c r="M207" s="4">
        <f t="shared" si="192"/>
        <v>12</v>
      </c>
      <c r="N207" s="386">
        <f t="shared" si="193"/>
        <v>0.34006377979187641</v>
      </c>
      <c r="O207" s="386">
        <f t="shared" si="228"/>
        <v>0</v>
      </c>
      <c r="P207" s="4">
        <f t="shared" si="194"/>
        <v>6.8277282166655944</v>
      </c>
      <c r="Q207" s="386">
        <f t="shared" si="195"/>
        <v>12.160790382073074</v>
      </c>
      <c r="R207" s="386">
        <f t="shared" si="173"/>
        <v>0.51585927509610474</v>
      </c>
      <c r="S207" s="386">
        <f t="shared" si="174"/>
        <v>1.1740203330771832</v>
      </c>
      <c r="T207" s="386">
        <f t="shared" si="175"/>
        <v>1.6898796081732881</v>
      </c>
      <c r="U207" s="4">
        <f t="shared" si="196"/>
        <v>1.9709953619227423</v>
      </c>
      <c r="V207" s="386">
        <f t="shared" si="176"/>
        <v>7.7696454334419242E-3</v>
      </c>
      <c r="W207" s="386">
        <f t="shared" si="177"/>
        <v>7.7696454334419242E-3</v>
      </c>
      <c r="X207" s="386">
        <f t="shared" si="197"/>
        <v>5.7609349828205678</v>
      </c>
      <c r="Y207" s="386">
        <f t="shared" si="178"/>
        <v>6.6376743752571632E-2</v>
      </c>
      <c r="Z207" s="603">
        <f t="shared" si="179"/>
        <v>6.6376743752571632E-2</v>
      </c>
      <c r="AA207" s="386">
        <f t="shared" si="198"/>
        <v>7.0915634233150371</v>
      </c>
      <c r="AB207" s="386">
        <f t="shared" si="199"/>
        <v>0.28665454918532823</v>
      </c>
      <c r="AC207" s="386">
        <f t="shared" si="200"/>
        <v>0.36653352272727274</v>
      </c>
      <c r="AD207">
        <f t="shared" si="201"/>
        <v>0</v>
      </c>
      <c r="AE207" s="386">
        <f t="shared" si="202"/>
        <v>0.69291342924981403</v>
      </c>
      <c r="AF207" s="386">
        <f t="shared" si="203"/>
        <v>9.8789954413301206</v>
      </c>
      <c r="AG207" s="386">
        <f t="shared" si="204"/>
        <v>0.55628894029998144</v>
      </c>
      <c r="AH207" s="386">
        <f t="shared" si="205"/>
        <v>0.24</v>
      </c>
      <c r="AI207" s="386">
        <f t="shared" si="206"/>
        <v>0.89597290373075755</v>
      </c>
      <c r="AJ207" s="386">
        <f t="shared" si="207"/>
        <v>0</v>
      </c>
      <c r="AK207" s="386">
        <f t="shared" si="208"/>
        <v>0</v>
      </c>
      <c r="AL207" s="386">
        <f t="shared" si="209"/>
        <v>0</v>
      </c>
      <c r="AM207">
        <f t="shared" si="210"/>
        <v>0</v>
      </c>
      <c r="AN207" s="386">
        <f t="shared" si="211"/>
        <v>0</v>
      </c>
      <c r="AO207" s="386">
        <f t="shared" si="212"/>
        <v>12.160790382073074</v>
      </c>
      <c r="AP207" s="386">
        <f t="shared" si="213"/>
        <v>0.28098116316176985</v>
      </c>
      <c r="AQ207" s="386">
        <f t="shared" si="214"/>
        <v>0</v>
      </c>
      <c r="AR207" s="386">
        <f t="shared" si="215"/>
        <v>0.29771142357849628</v>
      </c>
      <c r="AS207" s="386">
        <f t="shared" si="216"/>
        <v>0.28098116316176985</v>
      </c>
      <c r="AT207" s="386">
        <f t="shared" si="217"/>
        <v>0</v>
      </c>
      <c r="AU207" s="386">
        <f t="shared" si="218"/>
        <v>0.56119770000000013</v>
      </c>
      <c r="AV207" s="386">
        <f t="shared" si="219"/>
        <v>0.39037820371928522</v>
      </c>
      <c r="AW207" s="386">
        <f t="shared" si="220"/>
        <v>0.59328000000000003</v>
      </c>
      <c r="AX207" s="386">
        <f t="shared" si="221"/>
        <v>3.6000000000000004E-2</v>
      </c>
      <c r="AY207" s="386">
        <f t="shared" si="222"/>
        <v>6.6000000000000003E-2</v>
      </c>
      <c r="AZ207" s="386">
        <f t="shared" si="223"/>
        <v>4.3499999999999997E-2</v>
      </c>
      <c r="BA207" s="386">
        <f t="shared" si="180"/>
        <v>0.10200000000000001</v>
      </c>
      <c r="BB207" s="386">
        <f t="shared" si="181"/>
        <v>5.2974796576376546</v>
      </c>
      <c r="BC207">
        <f t="shared" si="224"/>
        <v>144</v>
      </c>
      <c r="BD207" s="604">
        <f t="shared" si="182"/>
        <v>0.96451728676340942</v>
      </c>
      <c r="BE207" s="614">
        <f t="shared" si="225"/>
        <v>62.705556462490705</v>
      </c>
      <c r="BF207" s="614">
        <f t="shared" si="226"/>
        <v>44.798645186537875</v>
      </c>
      <c r="BG207" s="9"/>
      <c r="BH207" s="4">
        <f t="shared" si="183"/>
        <v>96.451728676340949</v>
      </c>
      <c r="BI207" s="386">
        <f t="shared" si="184"/>
        <v>1.6898796081732881</v>
      </c>
      <c r="BJ207" s="386">
        <f t="shared" si="185"/>
        <v>2.4477954565590681</v>
      </c>
      <c r="BK207" s="386">
        <f t="shared" si="186"/>
        <v>1.0811681447307575</v>
      </c>
      <c r="BL207" s="386">
        <f t="shared" si="187"/>
        <v>0.39037820371928522</v>
      </c>
    </row>
    <row r="208" spans="7:64" x14ac:dyDescent="0.2">
      <c r="G208">
        <v>199</v>
      </c>
      <c r="H208" s="610">
        <f t="shared" si="188"/>
        <v>35.85</v>
      </c>
      <c r="I208" s="4" t="str">
        <f t="shared" si="189"/>
        <v>BUCK</v>
      </c>
      <c r="J208">
        <f t="shared" si="227"/>
        <v>1</v>
      </c>
      <c r="K208">
        <f t="shared" si="190"/>
        <v>12</v>
      </c>
      <c r="L208" s="4">
        <f t="shared" si="191"/>
        <v>4.4630404463040447</v>
      </c>
      <c r="M208" s="4">
        <f t="shared" si="192"/>
        <v>12</v>
      </c>
      <c r="N208" s="386">
        <f t="shared" si="193"/>
        <v>0.33864282132709339</v>
      </c>
      <c r="O208" s="386">
        <f t="shared" si="228"/>
        <v>0</v>
      </c>
      <c r="P208" s="4">
        <f t="shared" si="194"/>
        <v>6.8424295134085567</v>
      </c>
      <c r="Q208" s="386">
        <f t="shared" si="195"/>
        <v>12.161478945307749</v>
      </c>
      <c r="R208" s="386">
        <f t="shared" si="173"/>
        <v>0.51592010546119349</v>
      </c>
      <c r="S208" s="386">
        <f t="shared" si="174"/>
        <v>1.1798527278254878</v>
      </c>
      <c r="T208" s="386">
        <f t="shared" si="175"/>
        <v>1.6957728332866813</v>
      </c>
      <c r="U208" s="4">
        <f t="shared" si="196"/>
        <v>1.9752392607387352</v>
      </c>
      <c r="V208" s="386">
        <f t="shared" si="176"/>
        <v>7.8031402743274107E-3</v>
      </c>
      <c r="W208" s="386">
        <f t="shared" si="177"/>
        <v>7.8031402743274107E-3</v>
      </c>
      <c r="X208" s="386">
        <f t="shared" si="197"/>
        <v>5.7553980470266994</v>
      </c>
      <c r="Y208" s="386">
        <f t="shared" si="178"/>
        <v>6.6249213359437495E-2</v>
      </c>
      <c r="Z208" s="603">
        <f t="shared" si="179"/>
        <v>6.6249213359437495E-2</v>
      </c>
      <c r="AA208" s="386">
        <f t="shared" si="198"/>
        <v>7.0771325400868461</v>
      </c>
      <c r="AB208" s="386">
        <f t="shared" si="199"/>
        <v>0.28548908844274973</v>
      </c>
      <c r="AC208" s="386">
        <f t="shared" si="200"/>
        <v>0.36807357954545455</v>
      </c>
      <c r="AD208">
        <f t="shared" si="201"/>
        <v>0</v>
      </c>
      <c r="AE208" s="386">
        <f t="shared" si="202"/>
        <v>0.69313941599546114</v>
      </c>
      <c r="AF208" s="386">
        <f t="shared" si="203"/>
        <v>9.8901852938763284</v>
      </c>
      <c r="AG208" s="386">
        <f t="shared" si="204"/>
        <v>0.55754986133908335</v>
      </c>
      <c r="AH208" s="386">
        <f t="shared" si="205"/>
        <v>0.24</v>
      </c>
      <c r="AI208" s="386">
        <f t="shared" si="206"/>
        <v>0.89764638481624914</v>
      </c>
      <c r="AJ208" s="386">
        <f t="shared" si="207"/>
        <v>0</v>
      </c>
      <c r="AK208" s="386">
        <f t="shared" si="208"/>
        <v>0</v>
      </c>
      <c r="AL208" s="386">
        <f t="shared" si="209"/>
        <v>0</v>
      </c>
      <c r="AM208">
        <f t="shared" si="210"/>
        <v>0</v>
      </c>
      <c r="AN208" s="386">
        <f t="shared" si="211"/>
        <v>0</v>
      </c>
      <c r="AO208" s="386">
        <f t="shared" si="212"/>
        <v>12.161478945307749</v>
      </c>
      <c r="AP208" s="386">
        <f t="shared" si="213"/>
        <v>0.28101298326061097</v>
      </c>
      <c r="AQ208" s="386">
        <f t="shared" si="214"/>
        <v>0</v>
      </c>
      <c r="AR208" s="386">
        <f t="shared" si="215"/>
        <v>0.29774714601225849</v>
      </c>
      <c r="AS208" s="386">
        <f t="shared" si="216"/>
        <v>0.28101298326061097</v>
      </c>
      <c r="AT208" s="386">
        <f t="shared" si="217"/>
        <v>0</v>
      </c>
      <c r="AU208" s="386">
        <f t="shared" si="218"/>
        <v>0.56356020000000007</v>
      </c>
      <c r="AV208" s="386">
        <f t="shared" si="219"/>
        <v>0.39126306058883042</v>
      </c>
      <c r="AW208" s="386">
        <f t="shared" si="220"/>
        <v>0.59328000000000003</v>
      </c>
      <c r="AX208" s="386">
        <f t="shared" si="221"/>
        <v>3.6000000000000004E-2</v>
      </c>
      <c r="AY208" s="386">
        <f t="shared" si="222"/>
        <v>6.6000000000000003E-2</v>
      </c>
      <c r="AZ208" s="386">
        <f t="shared" si="223"/>
        <v>4.3499999999999997E-2</v>
      </c>
      <c r="BA208" s="386">
        <f t="shared" si="180"/>
        <v>0.10200000000000001</v>
      </c>
      <c r="BB208" s="386">
        <f t="shared" si="181"/>
        <v>5.3084613943332455</v>
      </c>
      <c r="BC208">
        <f t="shared" si="224"/>
        <v>144</v>
      </c>
      <c r="BD208" s="604">
        <f t="shared" si="182"/>
        <v>0.96444634587511247</v>
      </c>
      <c r="BE208" s="614">
        <f t="shared" si="225"/>
        <v>62.834980799773057</v>
      </c>
      <c r="BF208" s="614">
        <f t="shared" si="226"/>
        <v>44.882319240812457</v>
      </c>
      <c r="BG208" s="9"/>
      <c r="BH208" s="4">
        <f t="shared" si="183"/>
        <v>96.444634587511246</v>
      </c>
      <c r="BI208" s="386">
        <f t="shared" si="184"/>
        <v>1.6957728332866813</v>
      </c>
      <c r="BJ208" s="386">
        <f t="shared" si="185"/>
        <v>2.4520931468239686</v>
      </c>
      <c r="BK208" s="386">
        <f t="shared" si="186"/>
        <v>1.0836212508162493</v>
      </c>
      <c r="BL208" s="386">
        <f t="shared" si="187"/>
        <v>0.39126306058883042</v>
      </c>
    </row>
    <row r="209" spans="7:64" x14ac:dyDescent="0.2">
      <c r="G209">
        <v>200</v>
      </c>
      <c r="H209" s="610">
        <f t="shared" si="188"/>
        <v>36</v>
      </c>
      <c r="I209" s="4" t="str">
        <f t="shared" si="189"/>
        <v>BUCK</v>
      </c>
      <c r="J209">
        <f t="shared" si="227"/>
        <v>1</v>
      </c>
      <c r="K209">
        <f t="shared" si="190"/>
        <v>12</v>
      </c>
      <c r="L209" s="4">
        <f t="shared" si="191"/>
        <v>4.4444444444444446</v>
      </c>
      <c r="M209" s="4">
        <f t="shared" si="192"/>
        <v>12</v>
      </c>
      <c r="N209" s="386">
        <f t="shared" si="193"/>
        <v>0.33723368841544604</v>
      </c>
      <c r="O209" s="386">
        <f t="shared" si="228"/>
        <v>0</v>
      </c>
      <c r="P209" s="4">
        <f t="shared" si="194"/>
        <v>6.8570084624755632</v>
      </c>
      <c r="Q209" s="386">
        <f t="shared" si="195"/>
        <v>12.162163202100951</v>
      </c>
      <c r="R209" s="386">
        <f t="shared" si="173"/>
        <v>0.5159805593537109</v>
      </c>
      <c r="S209" s="386">
        <f t="shared" si="174"/>
        <v>1.1856527438521962</v>
      </c>
      <c r="T209" s="386">
        <f t="shared" si="175"/>
        <v>1.7016333032059072</v>
      </c>
      <c r="U209" s="4">
        <f t="shared" si="196"/>
        <v>1.9794478408229041</v>
      </c>
      <c r="V209" s="386">
        <f t="shared" si="176"/>
        <v>7.8364275090769143E-3</v>
      </c>
      <c r="W209" s="386">
        <f t="shared" si="177"/>
        <v>7.8364275090769143E-3</v>
      </c>
      <c r="X209" s="386">
        <f t="shared" si="197"/>
        <v>5.749850007394099</v>
      </c>
      <c r="Y209" s="386">
        <f t="shared" si="178"/>
        <v>6.6121550215059846E-2</v>
      </c>
      <c r="Z209" s="603">
        <f t="shared" si="179"/>
        <v>6.6121550215059846E-2</v>
      </c>
      <c r="AA209" s="386">
        <f t="shared" si="198"/>
        <v>7.0627901574567096</v>
      </c>
      <c r="AB209" s="386">
        <f t="shared" si="199"/>
        <v>0.28433312740712402</v>
      </c>
      <c r="AC209" s="386">
        <f t="shared" si="200"/>
        <v>0.36961363636363631</v>
      </c>
      <c r="AD209">
        <f t="shared" si="201"/>
        <v>0</v>
      </c>
      <c r="AE209" s="386">
        <f t="shared" si="202"/>
        <v>0.69337676031724482</v>
      </c>
      <c r="AF209" s="386">
        <f t="shared" si="203"/>
        <v>9.901273097247195</v>
      </c>
      <c r="AG209" s="386">
        <f t="shared" si="204"/>
        <v>0.55880069099374508</v>
      </c>
      <c r="AH209" s="386">
        <f t="shared" si="205"/>
        <v>0.24</v>
      </c>
      <c r="AI209" s="386">
        <f t="shared" si="206"/>
        <v>0.89930741159698313</v>
      </c>
      <c r="AJ209" s="386">
        <f t="shared" si="207"/>
        <v>0</v>
      </c>
      <c r="AK209" s="386">
        <f t="shared" si="208"/>
        <v>0</v>
      </c>
      <c r="AL209" s="386">
        <f t="shared" si="209"/>
        <v>0</v>
      </c>
      <c r="AM209">
        <f t="shared" si="210"/>
        <v>0</v>
      </c>
      <c r="AN209" s="386">
        <f t="shared" si="211"/>
        <v>0</v>
      </c>
      <c r="AO209" s="386">
        <f t="shared" si="212"/>
        <v>12.162163202100951</v>
      </c>
      <c r="AP209" s="386">
        <f t="shared" si="213"/>
        <v>0.28104460613362303</v>
      </c>
      <c r="AQ209" s="386">
        <f t="shared" si="214"/>
        <v>0</v>
      </c>
      <c r="AR209" s="386">
        <f t="shared" si="215"/>
        <v>0.29778264751020994</v>
      </c>
      <c r="AS209" s="386">
        <f t="shared" si="216"/>
        <v>0.28104460613362303</v>
      </c>
      <c r="AT209" s="386">
        <f t="shared" si="217"/>
        <v>0</v>
      </c>
      <c r="AU209" s="386">
        <f t="shared" si="218"/>
        <v>0.5659227</v>
      </c>
      <c r="AV209" s="386">
        <f t="shared" si="219"/>
        <v>0.39214083578508424</v>
      </c>
      <c r="AW209" s="386">
        <f t="shared" si="220"/>
        <v>0.59328000000000003</v>
      </c>
      <c r="AX209" s="386">
        <f t="shared" si="221"/>
        <v>3.6000000000000004E-2</v>
      </c>
      <c r="AY209" s="386">
        <f t="shared" si="222"/>
        <v>6.6000000000000003E-2</v>
      </c>
      <c r="AZ209" s="386">
        <f t="shared" si="223"/>
        <v>4.3499999999999997E-2</v>
      </c>
      <c r="BA209" s="386">
        <f t="shared" si="180"/>
        <v>0.10200000000000001</v>
      </c>
      <c r="BB209" s="386">
        <f t="shared" si="181"/>
        <v>5.3194016361395668</v>
      </c>
      <c r="BC209">
        <f t="shared" si="224"/>
        <v>144</v>
      </c>
      <c r="BD209" s="604">
        <f t="shared" si="182"/>
        <v>0.96437568341519453</v>
      </c>
      <c r="BE209" s="614">
        <f t="shared" si="225"/>
        <v>62.964973015862235</v>
      </c>
      <c r="BF209" s="614">
        <f t="shared" si="226"/>
        <v>44.965370579849157</v>
      </c>
      <c r="BG209" s="9"/>
      <c r="BH209" s="4">
        <f t="shared" si="183"/>
        <v>96.437568341519452</v>
      </c>
      <c r="BI209" s="386">
        <f t="shared" si="184"/>
        <v>1.7016333032059072</v>
      </c>
      <c r="BJ209" s="386">
        <f t="shared" si="185"/>
        <v>2.4563895194244378</v>
      </c>
      <c r="BK209" s="386">
        <f t="shared" si="186"/>
        <v>1.0860619025969831</v>
      </c>
      <c r="BL209" s="386">
        <f t="shared" si="187"/>
        <v>0.39214083578508424</v>
      </c>
    </row>
    <row r="224" spans="7:64" x14ac:dyDescent="0.2">
      <c r="H224"/>
      <c r="N224"/>
      <c r="O224"/>
      <c r="P224"/>
      <c r="Q224"/>
      <c r="R224"/>
      <c r="U224"/>
      <c r="X224"/>
      <c r="AS224"/>
      <c r="AU224"/>
      <c r="BB224"/>
      <c r="BD224"/>
      <c r="BE224"/>
      <c r="BF224"/>
      <c r="BH224"/>
      <c r="BI224"/>
      <c r="BJ224"/>
      <c r="BK224"/>
    </row>
    <row r="234" customFormat="1" x14ac:dyDescent="0.2"/>
    <row r="235" customFormat="1" x14ac:dyDescent="0.2"/>
  </sheetData>
  <sheetProtection selectLockedCells="1"/>
  <mergeCells count="13">
    <mergeCell ref="AA7:AE7"/>
    <mergeCell ref="AF7:AI7"/>
    <mergeCell ref="AX7:BA7"/>
    <mergeCell ref="BB7:BF7"/>
    <mergeCell ref="BH7:BL7"/>
    <mergeCell ref="AJ7:AN7"/>
    <mergeCell ref="AO7:AR7"/>
    <mergeCell ref="X7:Z7"/>
    <mergeCell ref="A1:D4"/>
    <mergeCell ref="A6:D7"/>
    <mergeCell ref="G7:P7"/>
    <mergeCell ref="Q7:T7"/>
    <mergeCell ref="U7:W7"/>
  </mergeCells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rgb="FF92D050"/>
  </sheetPr>
  <dimension ref="A1:CE209"/>
  <sheetViews>
    <sheetView zoomScaleNormal="100" workbookViewId="0">
      <pane ySplit="8" topLeftCell="A9" activePane="bottomLeft" state="frozen"/>
      <selection activeCell="F1" sqref="F1"/>
      <selection pane="bottomLeft" activeCell="BH109" sqref="BH109"/>
    </sheetView>
  </sheetViews>
  <sheetFormatPr defaultRowHeight="12.75" x14ac:dyDescent="0.2"/>
  <cols>
    <col min="1" max="1" width="19.85546875" customWidth="1"/>
    <col min="2" max="2" width="13.140625" bestFit="1" customWidth="1"/>
    <col min="4" max="4" width="71.5703125" customWidth="1"/>
    <col min="6" max="6" width="9.140625" customWidth="1"/>
    <col min="7" max="7" width="6.85546875" customWidth="1"/>
    <col min="8" max="8" width="9.140625" style="609"/>
    <col min="9" max="9" width="11" customWidth="1"/>
    <col min="10" max="10" width="6.7109375" customWidth="1"/>
    <col min="11" max="11" width="8.140625" customWidth="1"/>
    <col min="12" max="12" width="7.42578125" customWidth="1"/>
    <col min="13" max="13" width="7.140625" customWidth="1"/>
    <col min="14" max="14" width="10.7109375" style="386" customWidth="1"/>
    <col min="15" max="15" width="11.42578125" style="386" customWidth="1"/>
    <col min="16" max="16" width="8.85546875" style="4" customWidth="1"/>
    <col min="17" max="17" width="8" style="4" customWidth="1"/>
    <col min="18" max="18" width="9.42578125" style="335" customWidth="1"/>
    <col min="19" max="19" width="8" customWidth="1"/>
    <col min="20" max="20" width="9.28515625" customWidth="1"/>
    <col min="21" max="21" width="8.85546875" style="4" customWidth="1"/>
    <col min="22" max="22" width="9.85546875" customWidth="1"/>
    <col min="23" max="23" width="10.7109375" customWidth="1"/>
    <col min="24" max="24" width="9.7109375" style="335" customWidth="1"/>
    <col min="25" max="25" width="10.5703125" customWidth="1"/>
    <col min="27" max="28" width="8.5703125" customWidth="1"/>
    <col min="29" max="29" width="10" customWidth="1"/>
    <col min="30" max="30" width="8" customWidth="1"/>
    <col min="31" max="31" width="9.85546875" customWidth="1"/>
    <col min="32" max="33" width="8.85546875" customWidth="1"/>
    <col min="34" max="34" width="10.5703125" customWidth="1"/>
    <col min="35" max="35" width="10.28515625" customWidth="1"/>
    <col min="36" max="37" width="8.5703125" customWidth="1"/>
    <col min="38" max="38" width="10" customWidth="1"/>
    <col min="39" max="39" width="8" customWidth="1"/>
    <col min="40" max="40" width="9.85546875" customWidth="1"/>
    <col min="41" max="42" width="8.85546875" customWidth="1"/>
    <col min="43" max="43" width="10.42578125" customWidth="1"/>
    <col min="44" max="44" width="10.28515625" customWidth="1"/>
    <col min="45" max="45" width="12.28515625" style="335" customWidth="1"/>
    <col min="46" max="46" width="13.7109375" customWidth="1"/>
    <col min="47" max="47" width="12" style="335" customWidth="1"/>
    <col min="48" max="48" width="11.5703125" customWidth="1"/>
    <col min="49" max="49" width="11" customWidth="1"/>
    <col min="50" max="50" width="9.28515625" customWidth="1"/>
    <col min="51" max="52" width="10.42578125" customWidth="1"/>
    <col min="54" max="54" width="8.42578125" style="4" customWidth="1"/>
    <col min="55" max="55" width="7.28515625" customWidth="1"/>
    <col min="56" max="56" width="10.140625" style="9" customWidth="1"/>
    <col min="57" max="57" width="12.42578125" style="406" customWidth="1"/>
    <col min="58" max="58" width="11.42578125" style="406" customWidth="1"/>
    <col min="59" max="59" width="3.28515625" customWidth="1"/>
    <col min="60" max="60" width="7.85546875" style="386" customWidth="1"/>
    <col min="61" max="61" width="9.140625" style="335"/>
    <col min="62" max="62" width="10.28515625" style="335" customWidth="1"/>
    <col min="63" max="63" width="12.140625" style="335" customWidth="1"/>
    <col min="64" max="64" width="8.85546875" style="335" customWidth="1"/>
    <col min="65" max="65" width="7.85546875" customWidth="1"/>
    <col min="69" max="69" width="28.42578125" customWidth="1"/>
    <col min="72" max="72" width="12.42578125" bestFit="1" customWidth="1"/>
  </cols>
  <sheetData>
    <row r="1" spans="1:83" ht="12.75" customHeight="1" x14ac:dyDescent="0.2">
      <c r="A1" s="714" t="s">
        <v>888</v>
      </c>
      <c r="B1" s="714"/>
      <c r="C1" s="714"/>
      <c r="D1" s="714"/>
    </row>
    <row r="2" spans="1:83" ht="12.75" customHeight="1" x14ac:dyDescent="0.2">
      <c r="A2" s="714"/>
      <c r="B2" s="714"/>
      <c r="C2" s="714"/>
      <c r="D2" s="714"/>
      <c r="H2" s="615">
        <f>BD19</f>
        <v>0.94155531020369765</v>
      </c>
      <c r="I2" s="118" t="s">
        <v>920</v>
      </c>
      <c r="AI2" s="118"/>
      <c r="AJ2" s="118"/>
    </row>
    <row r="3" spans="1:83" ht="12.75" customHeight="1" x14ac:dyDescent="0.2">
      <c r="A3" s="714"/>
      <c r="B3" s="714"/>
      <c r="C3" s="714"/>
      <c r="D3" s="714"/>
      <c r="H3" s="615">
        <f>BD59</f>
        <v>0.97966914906942515</v>
      </c>
      <c r="I3" s="118" t="s">
        <v>922</v>
      </c>
      <c r="AI3" s="118"/>
      <c r="AJ3" s="118"/>
    </row>
    <row r="4" spans="1:83" ht="12.75" customHeight="1" x14ac:dyDescent="0.2">
      <c r="A4" s="714"/>
      <c r="B4" s="714"/>
      <c r="C4" s="714"/>
      <c r="D4" s="714"/>
      <c r="H4" s="615">
        <f>BD109</f>
        <v>0.97798790854808593</v>
      </c>
      <c r="I4" s="118" t="s">
        <v>921</v>
      </c>
      <c r="AI4" s="118"/>
      <c r="AJ4" s="118"/>
    </row>
    <row r="5" spans="1:83" x14ac:dyDescent="0.2">
      <c r="A5" s="10"/>
      <c r="B5" s="11"/>
      <c r="C5" s="6"/>
      <c r="D5" s="6"/>
    </row>
    <row r="6" spans="1:83" ht="13.5" customHeight="1" thickBot="1" x14ac:dyDescent="0.25">
      <c r="A6" s="715" t="s">
        <v>682</v>
      </c>
      <c r="B6" s="715"/>
      <c r="C6" s="715"/>
      <c r="D6" s="715"/>
      <c r="BV6">
        <v>80</v>
      </c>
      <c r="BW6">
        <v>100</v>
      </c>
      <c r="BX6">
        <v>120</v>
      </c>
      <c r="BY6">
        <v>140</v>
      </c>
      <c r="BZ6">
        <v>160</v>
      </c>
      <c r="CA6">
        <v>180</v>
      </c>
      <c r="CB6">
        <v>20</v>
      </c>
      <c r="CC6">
        <v>30</v>
      </c>
      <c r="CD6">
        <v>40</v>
      </c>
      <c r="CE6">
        <v>50</v>
      </c>
    </row>
    <row r="7" spans="1:83" ht="13.5" thickBot="1" x14ac:dyDescent="0.25">
      <c r="A7" s="715"/>
      <c r="B7" s="715"/>
      <c r="C7" s="715"/>
      <c r="D7" s="715"/>
      <c r="G7" s="711" t="s">
        <v>903</v>
      </c>
      <c r="H7" s="712"/>
      <c r="I7" s="712"/>
      <c r="J7" s="712"/>
      <c r="K7" s="712"/>
      <c r="L7" s="712"/>
      <c r="M7" s="712"/>
      <c r="N7" s="712"/>
      <c r="O7" s="712"/>
      <c r="P7" s="713"/>
      <c r="Q7" s="711" t="s">
        <v>694</v>
      </c>
      <c r="R7" s="712"/>
      <c r="S7" s="712"/>
      <c r="T7" s="713"/>
      <c r="U7" s="716" t="s">
        <v>27</v>
      </c>
      <c r="V7" s="717"/>
      <c r="W7" s="718"/>
      <c r="X7" s="711" t="s">
        <v>61</v>
      </c>
      <c r="Y7" s="712"/>
      <c r="Z7" s="713"/>
      <c r="AA7" s="711" t="s">
        <v>898</v>
      </c>
      <c r="AB7" s="712"/>
      <c r="AC7" s="712"/>
      <c r="AD7" s="712"/>
      <c r="AE7" s="713"/>
      <c r="AF7" s="711" t="s">
        <v>899</v>
      </c>
      <c r="AG7" s="712"/>
      <c r="AH7" s="712"/>
      <c r="AI7" s="713"/>
      <c r="AJ7" s="711" t="s">
        <v>900</v>
      </c>
      <c r="AK7" s="712"/>
      <c r="AL7" s="712"/>
      <c r="AM7" s="712"/>
      <c r="AN7" s="713"/>
      <c r="AO7" s="711" t="s">
        <v>901</v>
      </c>
      <c r="AP7" s="712"/>
      <c r="AQ7" s="712"/>
      <c r="AR7" s="713"/>
      <c r="AS7" s="510" t="s">
        <v>893</v>
      </c>
      <c r="AT7" s="508" t="s">
        <v>237</v>
      </c>
      <c r="AU7" s="511" t="s">
        <v>656</v>
      </c>
      <c r="AV7" s="509" t="s">
        <v>714</v>
      </c>
      <c r="AW7" s="509" t="s">
        <v>711</v>
      </c>
      <c r="AX7" s="719" t="s">
        <v>701</v>
      </c>
      <c r="AY7" s="720"/>
      <c r="AZ7" s="720"/>
      <c r="BA7" s="721"/>
      <c r="BB7" s="711" t="s">
        <v>709</v>
      </c>
      <c r="BC7" s="712"/>
      <c r="BD7" s="712"/>
      <c r="BE7" s="712"/>
      <c r="BF7" s="712"/>
      <c r="BG7" s="605"/>
      <c r="BH7" s="722" t="s">
        <v>710</v>
      </c>
      <c r="BI7" s="722"/>
      <c r="BJ7" s="722"/>
      <c r="BK7" s="722"/>
      <c r="BL7" s="722"/>
      <c r="BM7" s="722"/>
    </row>
    <row r="8" spans="1:83" ht="51.75" thickBot="1" x14ac:dyDescent="0.45">
      <c r="A8" s="13" t="s">
        <v>112</v>
      </c>
      <c r="B8" s="13"/>
      <c r="C8" s="13"/>
      <c r="D8" s="6"/>
      <c r="G8" s="493" t="s">
        <v>57</v>
      </c>
      <c r="H8" s="608" t="s">
        <v>4</v>
      </c>
      <c r="I8" s="600" t="s">
        <v>902</v>
      </c>
      <c r="J8" s="600" t="s">
        <v>904</v>
      </c>
      <c r="K8" s="494" t="s">
        <v>6</v>
      </c>
      <c r="L8" s="494" t="s">
        <v>412</v>
      </c>
      <c r="M8" s="494" t="s">
        <v>912</v>
      </c>
      <c r="N8" s="505" t="s">
        <v>908</v>
      </c>
      <c r="O8" s="611" t="s">
        <v>907</v>
      </c>
      <c r="P8" s="602" t="s">
        <v>695</v>
      </c>
      <c r="Q8" s="601" t="s">
        <v>897</v>
      </c>
      <c r="R8" s="507" t="s">
        <v>91</v>
      </c>
      <c r="S8" s="494" t="s">
        <v>896</v>
      </c>
      <c r="T8" s="495" t="s">
        <v>747</v>
      </c>
      <c r="U8" s="601" t="s">
        <v>697</v>
      </c>
      <c r="V8" s="496" t="s">
        <v>696</v>
      </c>
      <c r="W8" s="495" t="s">
        <v>746</v>
      </c>
      <c r="X8" s="506" t="s">
        <v>698</v>
      </c>
      <c r="Y8" s="494" t="s">
        <v>699</v>
      </c>
      <c r="Z8" s="495" t="s">
        <v>744</v>
      </c>
      <c r="AA8" s="493" t="s">
        <v>88</v>
      </c>
      <c r="AB8" s="494" t="s">
        <v>700</v>
      </c>
      <c r="AC8" s="494" t="s">
        <v>889</v>
      </c>
      <c r="AD8" s="497" t="s">
        <v>238</v>
      </c>
      <c r="AE8" s="495" t="s">
        <v>890</v>
      </c>
      <c r="AF8" s="493" t="s">
        <v>88</v>
      </c>
      <c r="AG8" s="494" t="s">
        <v>700</v>
      </c>
      <c r="AH8" s="494" t="s">
        <v>703</v>
      </c>
      <c r="AI8" s="498" t="s">
        <v>891</v>
      </c>
      <c r="AJ8" s="493" t="s">
        <v>88</v>
      </c>
      <c r="AK8" s="494" t="s">
        <v>700</v>
      </c>
      <c r="AL8" s="494" t="s">
        <v>889</v>
      </c>
      <c r="AM8" s="497" t="s">
        <v>238</v>
      </c>
      <c r="AN8" s="495" t="s">
        <v>890</v>
      </c>
      <c r="AO8" s="493" t="s">
        <v>88</v>
      </c>
      <c r="AP8" s="494" t="s">
        <v>700</v>
      </c>
      <c r="AQ8" s="494" t="s">
        <v>703</v>
      </c>
      <c r="AR8" s="498" t="s">
        <v>891</v>
      </c>
      <c r="AS8" s="507" t="s">
        <v>892</v>
      </c>
      <c r="AT8" s="495" t="s">
        <v>703</v>
      </c>
      <c r="AU8" s="512" t="s">
        <v>97</v>
      </c>
      <c r="AV8" s="513" t="s">
        <v>713</v>
      </c>
      <c r="AW8" s="513" t="s">
        <v>712</v>
      </c>
      <c r="AX8" s="499" t="s">
        <v>704</v>
      </c>
      <c r="AY8" s="500" t="s">
        <v>166</v>
      </c>
      <c r="AZ8" s="501" t="s">
        <v>240</v>
      </c>
      <c r="BA8" s="502" t="s">
        <v>702</v>
      </c>
      <c r="BB8" s="503" t="s">
        <v>58</v>
      </c>
      <c r="BC8" s="494" t="s">
        <v>394</v>
      </c>
      <c r="BD8" s="504" t="s">
        <v>706</v>
      </c>
      <c r="BE8" s="613" t="str">
        <f>IF(Vin&gt;Vout, "Buck ''CONTROL'' MOSFET Temp Rise", "Boost ''CONTROL'' MOSFET Temp Rise")</f>
        <v>Boost ''CONTROL'' MOSFET Temp Rise</v>
      </c>
      <c r="BF8" s="613" t="str">
        <f>IF(Vin&gt;Vout, "Buck ''SYNC'' MOSFET Temp Rise", "Boost ''SYNC'' MOSFET Temp Rise")</f>
        <v>Boost ''SYNC'' MOSFET Temp Rise</v>
      </c>
      <c r="BH8" s="606" t="s">
        <v>705</v>
      </c>
      <c r="BI8" s="607" t="s">
        <v>745</v>
      </c>
      <c r="BJ8" s="607" t="s">
        <v>914</v>
      </c>
      <c r="BK8" s="607" t="str">
        <f>IF(Vin&gt;Vout, "Buck ''Control'' MOSFET Loss", "Boost ''Control'' MOSFET Loss")</f>
        <v>Boost ''Control'' MOSFET Loss</v>
      </c>
      <c r="BL8" s="607" t="str">
        <f>IF(Vin&gt;Vout, "Buck ''SYNC'' MOSFET Loss", "Boost ''SYNC'' MOSFET Loss")</f>
        <v>Boost ''SYNC'' MOSFET Loss</v>
      </c>
      <c r="BM8" s="607" t="s">
        <v>870</v>
      </c>
      <c r="BN8" s="607"/>
      <c r="BT8" t="s">
        <v>132</v>
      </c>
      <c r="BV8" t="s">
        <v>124</v>
      </c>
      <c r="BW8" t="s">
        <v>125</v>
      </c>
      <c r="BX8" t="s">
        <v>126</v>
      </c>
      <c r="BY8" t="s">
        <v>127</v>
      </c>
      <c r="BZ8" t="s">
        <v>128</v>
      </c>
      <c r="CA8" t="s">
        <v>129</v>
      </c>
      <c r="CB8" t="s">
        <v>133</v>
      </c>
      <c r="CC8" t="s">
        <v>134</v>
      </c>
      <c r="CD8" t="s">
        <v>135</v>
      </c>
      <c r="CE8" t="s">
        <v>136</v>
      </c>
    </row>
    <row r="9" spans="1:83" x14ac:dyDescent="0.2">
      <c r="A9" s="14" t="s">
        <v>59</v>
      </c>
      <c r="B9" s="15" t="s">
        <v>115</v>
      </c>
      <c r="C9" s="16" t="s">
        <v>80</v>
      </c>
      <c r="D9" s="17" t="s">
        <v>111</v>
      </c>
      <c r="G9">
        <v>0</v>
      </c>
      <c r="H9" s="610">
        <f t="shared" ref="H9:H40" si="0">Vin</f>
        <v>12</v>
      </c>
      <c r="I9" s="4" t="str">
        <f t="shared" ref="I9:I40" si="1">IF(H9&gt;VIN_BB_to_buck, "BUCK", IF(H9&lt;VIN_boost_to_BB,"BOOST","BUCK-BST"))</f>
        <v>BUCK-BST</v>
      </c>
      <c r="J9">
        <f>IF(I9="BOOST",2, IF(I9="BUCK", 1,3))</f>
        <v>3</v>
      </c>
      <c r="K9">
        <v>0</v>
      </c>
      <c r="L9" s="4">
        <f t="shared" ref="L9:L40" si="2">Vout*K9/(Vin*Efficiency)</f>
        <v>0</v>
      </c>
      <c r="M9" s="4">
        <f>K9/(1-O9)</f>
        <v>0</v>
      </c>
      <c r="N9" s="386">
        <f t="shared" ref="N9:N40" si="3">CHOOSE(J9,(Vout+(Rdson2+Rs+Rdcr)*K9)/(Vin+(Rs+Rdson2-Rdson1)*K9), 1, IF(Vin&lt;Vout, D_max_buck_BB, Vout/Vin*(1-D_min_boost_exitBB_to_buck)))</f>
        <v>0.96250000000000002</v>
      </c>
      <c r="O9" s="386">
        <f t="shared" ref="O9:O40" si="4">CHOOSE(J9,0,(Vout+(Rdson3+Rdcr)*L9-Vin)/(Vout+(Rdson3-Rdson4-Rs)*L9), IF(Vin&gt;Vout,D_min_boost_exitBB_to_buck, (Vout-Vin*D_max_buck_BB)/Vout))</f>
        <v>3.7499999999999943E-2</v>
      </c>
      <c r="P9" s="4">
        <f t="shared" ref="P9:P40" si="5">MAX(0, CHOOSE(J9, (Vin-(Rdson1+Rdcr)*K9-Vout)*N9/(Fsw*Lf), (Vin-(Rdson4+Rdcr+Rs)*L9)*O9/(Fsw*Lf), IF(Vin&lt;Vout, (Vin-(Rdson4+Rdcr+Rs)*L9)*O9/(0.5*Fsw*Lf),(Vin-(Rdson1+Rdcr)*K9-Vout)*N9/(0.5*Fsw*Lf))))</f>
        <v>0</v>
      </c>
      <c r="Q9" s="4">
        <f t="shared" ref="Q9:Q40" si="6">CHOOSE(J9, SQRT(K9^2+(P9^2)/12), SQRT(L9^2+(P9^2)/12), SQRT(M9^2+(P9^2)/12))</f>
        <v>0</v>
      </c>
      <c r="R9" s="386">
        <f t="shared" ref="R9:R73" si="7">(Q9^2*Rdcr*(1+Ltc*Ta-Ltc*25))/(1-Q9^2*Rdcr*Ltc*ThetaCa)</f>
        <v>0</v>
      </c>
      <c r="S9" s="386">
        <f>ABS(7.759*10^-3*Fsw^0.9458*(0.00787*P9)^2.304)</f>
        <v>0</v>
      </c>
      <c r="T9" s="386">
        <f>R9+S9</f>
        <v>0</v>
      </c>
      <c r="U9" s="4">
        <f t="shared" ref="U9:U40" si="8">IF(Vin&gt;Vout, P9/SQRT(12), SQRT(O9/(1-O9))*SQRT(K9^2+(P9^2)/12))</f>
        <v>0</v>
      </c>
      <c r="V9" s="386">
        <f t="shared" ref="V9:V73" si="9">RCoutEsr*U9^2</f>
        <v>0</v>
      </c>
      <c r="W9" s="386">
        <f>V9</f>
        <v>0</v>
      </c>
      <c r="X9" s="4">
        <f t="shared" ref="X9:X40" si="10">IF(Vin&gt;Vout, SQRT(N9*(1-N9))*SQRT(K9^2+(P9^2)/12), P9/SQRT(12))</f>
        <v>0</v>
      </c>
      <c r="Y9" s="386">
        <f t="shared" ref="Y9:Y73" si="11">RCinEsr*X9^2</f>
        <v>0</v>
      </c>
      <c r="Z9" s="603">
        <f>Y9</f>
        <v>0</v>
      </c>
      <c r="AA9" s="386">
        <f t="shared" ref="AA9:AA40" si="12">CHOOSE(J9, SQRT(N9)*SQRT(K9^2+(P9^2)/12), SQRT(L9^2+(P9^2)/12), SQRT(N9)*SQRT(M9^2+(P9^2)/12))</f>
        <v>0</v>
      </c>
      <c r="AB9" s="386">
        <f t="shared" ref="AB9:AB40" si="13">Rdson1*AA9^2</f>
        <v>0</v>
      </c>
      <c r="AC9" s="386">
        <f t="shared" ref="AC9:AC40" si="14">CHOOSE(J9, (Vin*K9/2)*(Fsw)*(Tr_buck+Tf_buck), 0, (Vin*K9/2)*(Fsw/2)*(Tr_buck+Tf_buck))</f>
        <v>0</v>
      </c>
      <c r="AD9" s="386">
        <f t="shared" ref="AD9:AD40" si="15">CHOOSE(J9, IF(K9&gt;P9/2,0,ABS(K9-P9/2)*Vsd_Q1*Deadtime*Fsw),0, IF(K9&gt;P9/2,0,ABS(K9-P9/2)*Vsd_Q1*Deadtime*Fsw/2))</f>
        <v>0</v>
      </c>
      <c r="AE9" s="386">
        <f t="shared" ref="AE9:AE40" si="16">(AD9+AC9+AB9*(1+RdsonTopTc*Ta-RdsonTopTc*25))/(1-AB9*RdsonTopTc*ThetaJA_Q1)</f>
        <v>0</v>
      </c>
      <c r="AF9" s="386">
        <f t="shared" ref="AF9:AF40" si="17">CHOOSE(J9, SQRT((1-N9))*SQRT(K9^2+(P9^2)/12), 0, SQRT((1-N9))*SQRT(M9^2+(P9^2)/12))</f>
        <v>0</v>
      </c>
      <c r="AG9" s="386">
        <f t="shared" ref="AG9:AG40" si="18">Rdson2*AF9^2</f>
        <v>0</v>
      </c>
      <c r="AH9" s="386">
        <f t="shared" ref="AH9:AH40" si="19">CHOOSE(J9, IF(K9&lt;P9/2,Deadtime*Fsw*IF(VfdSky_Q2&gt;0,0,Vsd_Q2)*(K9+P9/2),2*Deadtime*Fsw*IF(VfdSky_Q2&gt;0,0,Vsd_Q2)*K9),0, IF(K9&lt;P9/2,Deadtime*Fsw/2*IF(VfdSky_Q2&gt;0,0,Vsd_Q2)*(K9+P9/2),2*Deadtime*Fsw/2*IF(VfdSky_Q2&gt;0,0,Vsd_Q2)*K9))</f>
        <v>0</v>
      </c>
      <c r="AI9" s="386">
        <f t="shared" ref="AI9:AI40" si="20">(AH9+AG9*(1+RdsonBotTc*Ta-RdsonBotTc*25))/(1-AG9*RdsonBotTc*ThetaJA_Q2)</f>
        <v>0</v>
      </c>
      <c r="AJ9" s="386">
        <f t="shared" ref="AJ9:AJ40" si="21">CHOOSE(J9, 0, SQRT(O9)*SQRT(L9^2+(P9^2)/12), SQRT(O9)*SQRT(M9^2+(P9^2)/12))</f>
        <v>0</v>
      </c>
      <c r="AK9" s="386">
        <f t="shared" ref="AK9:AK40" si="22">Rdson4*AJ9^2</f>
        <v>0</v>
      </c>
      <c r="AL9" s="386">
        <f t="shared" ref="AL9:AL40" si="23">CHOOSE(J9, 0, (Vout*L9/2)*(Fsw)*(Tr_boost+Tf_boost), (Vout*Iout/2)*(Fsw/2)*(Tr_boost+Tf_boost))</f>
        <v>5.7488094717986812E-2</v>
      </c>
      <c r="AM9" s="386">
        <f t="shared" ref="AM9:AM40" si="24">IF(H9&gt;Vout, 0, IF(L9&gt;P9/2,0,ABS(L9-P9/2)*Vsd_Q4*Deadtime*Fsw))</f>
        <v>0</v>
      </c>
      <c r="AN9" s="386">
        <f t="shared" ref="AN9:AN40" si="25">(AM9+AL9+AK9*(1+RdsonTopTc*Ta-RdsonTopTc*25))/(1-AK9*RdsonTopTc*ThetaJA_Q4)</f>
        <v>5.7488094717986812E-2</v>
      </c>
      <c r="AO9" s="386">
        <f>CHOOSE(J9, SQRT(K9^2+(P9^2)/12), SQRT(1-O9)*SQRT(L9^2+(P9^2)/12), SQRT(1-O9)*SQRT(M9^2+(P9^2)/12))</f>
        <v>0</v>
      </c>
      <c r="AP9" s="386">
        <f t="shared" ref="AP9:AP40" si="26">Rdson3*AO9^2</f>
        <v>0</v>
      </c>
      <c r="AQ9" s="386">
        <f t="shared" ref="AQ9:AQ40" si="27">CHOOSE(J9, 0, IF(L9&lt;P9/2,Deadtime*Fsw*IF(VfdSky_Q3&gt;0,0,Vsd_Q3)*(L9+P9/2), 2*Deadtime*Fsw*IF(VfdSky_Q3&gt;0,0,Vsd_Q3)*L9), IF(L9&lt;P9/2,Deadtime*Fsw/2*IF(VfdSky_Q3&gt;0,0,Vsd_Q3)*(L9+P9/2), 2*Deadtime*Fsw/2*IF(VfdSky_Q3&gt;0,0,Vsd_Q3)*L9))</f>
        <v>0</v>
      </c>
      <c r="AR9" s="386">
        <f t="shared" ref="AR9:AR40" si="28">(AQ9+AP9*(1+RdsonBotTc*Ta-RdsonBotTc*25))/(1-AP9*RdsonBotTc*ThetaJA_Q3)</f>
        <v>0</v>
      </c>
      <c r="AS9" s="386">
        <f t="shared" ref="AS9:AS40" si="29">CHOOSE(J9, Rdson3*Q9^2, Rdson1*Q9^2, 0)</f>
        <v>0</v>
      </c>
      <c r="AT9" s="386">
        <f t="shared" ref="AT9:AT40" si="30">CHOOSE(J9, 2*Deadtime*Fsw*IF(VfdSky_Q2&gt;0,VfdSky_Q2,0)*K9, 2*Deadtime*Fsw*IF(VfdSky_Q3&gt;0,VfdSky_Q3,0)*L9, 2*Deadtime*Fsw/2*IF(VfdSky_Q2&gt;0,VfdSky_Q2,0)*K9+2*Deadtime*Fsw/2*IF(VfdSky_Q3&gt;0,VfdSky_Q3,0)*L9)</f>
        <v>0</v>
      </c>
      <c r="AU9" s="386">
        <f t="shared" ref="AU9:AU40" si="31">CHOOSE(J9, IF(QrrSky_Q2&gt;0,QrrSky_Q2,Qrr_Q2*K9/Iout)*Fsw*(Vin-K9*Rdson1), IF(QrrSky_Q3&gt;0,QrrSky_Q3,Qrr_Q3)*Fsw*Vout,  IF(QrrSky_Q2&gt;0,QrrSky_Q2,Qrr_Q2*K9/Iout)*Fsw/2*(Vin-K9*Rdson1)+IF(QrrSky_Q3&gt;0,QrrSky_Q3,Qrr_Q3)*Fsw/2*Vout)</f>
        <v>4.9499999999999988E-2</v>
      </c>
      <c r="AV9" s="386">
        <f t="shared" ref="AV9:AV40" si="32">CHOOSE(J9, Rs*AF9^2, Rs*AJ9^2, Rs*(AF9^2+AJ9^2))</f>
        <v>0</v>
      </c>
      <c r="AW9" s="386">
        <f t="shared" ref="AW9:AW72" si="33">Rshunt_std/1000*Iout^2</f>
        <v>0.59328000000000003</v>
      </c>
      <c r="AX9" s="386">
        <f t="shared" ref="AX9:AX40" si="34">IF(Vout&gt;8, Iq*Vout, Iq*Vin)</f>
        <v>3.6000000000000004E-2</v>
      </c>
      <c r="AY9" s="386">
        <f t="shared" ref="AY9:AY40" si="35">CHOOSE(J9, (Qg_Q1+Qg_Q2)*Fsw, (Qg_Q3+Qg_Q4)*Fsw, (Qg_Q1+Qg_Q2+Qg_Q3+Qg_Q4)*Fsw/2)*IF(Vout&gt;8, Vout, Vin)</f>
        <v>9.8999999999999977E-2</v>
      </c>
      <c r="AZ9" s="386">
        <f t="shared" ref="AZ9:AZ72" si="36">(Vin-Vdd)*Fsw*(Qg_Q1+Qg_Q2)+(RdsonDRT+RdsonDRT2)*Fsw*Qg_Q1*Vdd/(RdsonDRT+2*Rgate1+RdsonDRT2)+(RdsonDRB+RdsonDRB2)*Fsw*Qg_Q2*Vdd/(RdsonDRB+2*Rgate2+RdsonDRB2)</f>
        <v>4.3499999999999997E-2</v>
      </c>
      <c r="BA9" s="386">
        <f>SUM(AX9:AY9)</f>
        <v>0.13499999999999998</v>
      </c>
      <c r="BB9" s="386">
        <f>SUM(T9,W9,Z9,AE9,AI9,AN9,AR9, AT9,AU9,BA9,AV9,AW9)</f>
        <v>0.8352680947179868</v>
      </c>
      <c r="BC9">
        <f t="shared" ref="BC9:BC40" si="37">Vout*K9</f>
        <v>0</v>
      </c>
      <c r="BD9" s="604">
        <f>BC9/(BC9+BB9)</f>
        <v>0</v>
      </c>
      <c r="BE9" s="614">
        <f t="shared" ref="BE9:BE40" si="38">IF(Vin&gt;Vout,ThetaJA_Q1*BK9,ThetaJA_Q4*BK9)</f>
        <v>4.5079047358993405</v>
      </c>
      <c r="BF9" s="614">
        <f t="shared" ref="BF9:BF40" si="39">IF(Vin&gt;Vout, ThetaJA_Q2*BL9, ThetaJA_Q3*BL9)</f>
        <v>0.81674999999999975</v>
      </c>
      <c r="BH9" s="4">
        <f>BD9*100</f>
        <v>0</v>
      </c>
      <c r="BI9" s="386">
        <f>T9</f>
        <v>0</v>
      </c>
      <c r="BJ9" s="386">
        <f>AE9+AI9+AN9+AR9+AU9</f>
        <v>0.1069880947179868</v>
      </c>
      <c r="BK9" s="386">
        <f t="shared" ref="BK9:BK40" si="40">IF(Vin&gt;Vout, AE9+AU9*0.66, AN9+AU9*0.66)</f>
        <v>9.0158094717986803E-2</v>
      </c>
      <c r="BL9" s="386">
        <f t="shared" ref="BL9:BL40" si="41">IF(Vin&gt;Vout, AI9+AU9*0.33, AR9+AU9*0.33)</f>
        <v>1.6334999999999995E-2</v>
      </c>
      <c r="BM9" s="386">
        <f>AV9</f>
        <v>0</v>
      </c>
      <c r="BQ9" t="s">
        <v>137</v>
      </c>
      <c r="BR9" s="18">
        <v>70</v>
      </c>
      <c r="BS9" s="18">
        <v>70</v>
      </c>
      <c r="BT9" s="18">
        <v>70</v>
      </c>
      <c r="BU9" s="19">
        <f>250000*(5-Vdd)*BT9/1000000000+((250000*BT9/1000000000*Vdd)*2.5/(2*4))</f>
        <v>-2.7343749999999972E-3</v>
      </c>
      <c r="BV9">
        <f t="shared" ref="BV9:CE17" si="42">BV$6*$BU9</f>
        <v>-0.21874999999999978</v>
      </c>
      <c r="BW9">
        <f t="shared" si="42"/>
        <v>-0.27343749999999972</v>
      </c>
      <c r="BX9">
        <f t="shared" si="42"/>
        <v>-0.32812499999999967</v>
      </c>
      <c r="BY9">
        <f t="shared" si="42"/>
        <v>-0.38281249999999961</v>
      </c>
      <c r="BZ9">
        <f t="shared" si="42"/>
        <v>-0.43749999999999956</v>
      </c>
      <c r="CA9">
        <f t="shared" si="42"/>
        <v>-0.4921874999999995</v>
      </c>
      <c r="CB9">
        <f t="shared" si="42"/>
        <v>-5.4687499999999944E-2</v>
      </c>
      <c r="CC9">
        <f t="shared" si="42"/>
        <v>-8.2031249999999917E-2</v>
      </c>
      <c r="CD9">
        <f t="shared" si="42"/>
        <v>-0.10937499999999989</v>
      </c>
      <c r="CE9">
        <f t="shared" si="42"/>
        <v>-0.13671874999999986</v>
      </c>
    </row>
    <row r="10" spans="1:83" x14ac:dyDescent="0.2">
      <c r="A10" s="547"/>
      <c r="B10" s="24"/>
      <c r="C10" s="16"/>
      <c r="D10" s="17"/>
      <c r="G10">
        <v>1</v>
      </c>
      <c r="H10" s="610">
        <f t="shared" si="0"/>
        <v>12</v>
      </c>
      <c r="I10" s="4" t="str">
        <f t="shared" si="1"/>
        <v>BUCK-BST</v>
      </c>
      <c r="J10">
        <f t="shared" ref="J10:J73" si="43">IF(I10="BOOST",2, IF(I10="BUCK", 1,3))</f>
        <v>3</v>
      </c>
      <c r="K10" s="386">
        <f t="shared" ref="K10:K41" si="44">Iout*G10/100</f>
        <v>0.12</v>
      </c>
      <c r="L10" s="4">
        <f t="shared" si="2"/>
        <v>0.13333333333333333</v>
      </c>
      <c r="M10" s="4">
        <f>K10/(1-O10)</f>
        <v>0.12467532467532466</v>
      </c>
      <c r="N10" s="386">
        <f t="shared" si="3"/>
        <v>0.96250000000000002</v>
      </c>
      <c r="O10" s="386">
        <f t="shared" si="4"/>
        <v>3.7499999999999943E-2</v>
      </c>
      <c r="P10" s="4">
        <f t="shared" si="5"/>
        <v>0</v>
      </c>
      <c r="Q10" s="4">
        <f t="shared" si="6"/>
        <v>0.12467532467532466</v>
      </c>
      <c r="R10" s="386">
        <f t="shared" si="7"/>
        <v>5.2072404474627997E-5</v>
      </c>
      <c r="S10" s="386">
        <f t="shared" ref="S10:S73" si="45">7.759*10^-3*Fsw^0.9458*(0.00787*P10)^2.304</f>
        <v>0</v>
      </c>
      <c r="T10" s="386">
        <f t="shared" ref="T10:T73" si="46">R10+S10</f>
        <v>5.2072404474627997E-5</v>
      </c>
      <c r="U10" s="4">
        <f t="shared" si="8"/>
        <v>2.3686261018551664E-2</v>
      </c>
      <c r="V10" s="386">
        <f t="shared" si="9"/>
        <v>1.1220779220779202E-6</v>
      </c>
      <c r="W10" s="386">
        <f t="shared" ref="W10:W73" si="47">V10</f>
        <v>1.1220779220779202E-6</v>
      </c>
      <c r="X10" s="4">
        <f t="shared" si="10"/>
        <v>0</v>
      </c>
      <c r="Y10" s="386">
        <f t="shared" si="11"/>
        <v>0</v>
      </c>
      <c r="Z10" s="603">
        <f t="shared" ref="Z10:Z73" si="48">Y10</f>
        <v>0</v>
      </c>
      <c r="AA10" s="386">
        <f t="shared" si="12"/>
        <v>0.12231532594503013</v>
      </c>
      <c r="AB10" s="386">
        <f t="shared" si="13"/>
        <v>8.5277922077922077E-5</v>
      </c>
      <c r="AC10" s="386">
        <f t="shared" si="14"/>
        <v>6.1602272727272721E-4</v>
      </c>
      <c r="AD10" s="386">
        <f t="shared" si="15"/>
        <v>0</v>
      </c>
      <c r="AE10" s="386">
        <f t="shared" si="16"/>
        <v>7.0131261064708189E-4</v>
      </c>
      <c r="AF10" s="386">
        <f t="shared" si="17"/>
        <v>2.4143272807526747E-2</v>
      </c>
      <c r="AG10" s="386">
        <f t="shared" si="18"/>
        <v>3.3225164445943646E-6</v>
      </c>
      <c r="AH10" s="386">
        <f t="shared" si="19"/>
        <v>1.1999999999999999E-3</v>
      </c>
      <c r="AI10" s="386">
        <f t="shared" si="20"/>
        <v>1.2033233160568956E-3</v>
      </c>
      <c r="AJ10" s="386">
        <f t="shared" si="21"/>
        <v>2.4143272807526733E-2</v>
      </c>
      <c r="AK10" s="386">
        <f t="shared" si="22"/>
        <v>1.1075054815314537E-6</v>
      </c>
      <c r="AL10" s="386">
        <f t="shared" si="23"/>
        <v>5.7488094717986812E-2</v>
      </c>
      <c r="AM10" s="386">
        <f t="shared" si="24"/>
        <v>0</v>
      </c>
      <c r="AN10" s="386">
        <f t="shared" si="25"/>
        <v>5.7489214957392488E-2</v>
      </c>
      <c r="AO10" s="386">
        <f t="shared" ref="AO10:AO73" si="49">CHOOSE(J10, SQRT(K10^2+(P10^2)/12), SQRT(1-O10)*SQRT(L10^2+(P10^2)/12), SQRT(1-O10)*SQRT(M10^2+(P10^2)/12))</f>
        <v>0.12231532594503013</v>
      </c>
      <c r="AP10" s="386">
        <f t="shared" si="26"/>
        <v>2.8425974025974022E-5</v>
      </c>
      <c r="AQ10" s="386">
        <f t="shared" si="27"/>
        <v>1.3333333333333333E-3</v>
      </c>
      <c r="AR10" s="386">
        <f t="shared" si="28"/>
        <v>1.3617670492702615E-3</v>
      </c>
      <c r="AS10" s="386">
        <f t="shared" si="29"/>
        <v>0</v>
      </c>
      <c r="AT10" s="386">
        <f t="shared" si="30"/>
        <v>0</v>
      </c>
      <c r="AU10" s="386">
        <f t="shared" si="31"/>
        <v>5.0444946134999988E-2</v>
      </c>
      <c r="AV10" s="386">
        <f t="shared" si="32"/>
        <v>4.6631809748692814E-6</v>
      </c>
      <c r="AW10" s="386">
        <f t="shared" si="33"/>
        <v>0.59328000000000003</v>
      </c>
      <c r="AX10" s="386">
        <f t="shared" si="34"/>
        <v>3.6000000000000004E-2</v>
      </c>
      <c r="AY10" s="386">
        <f t="shared" si="35"/>
        <v>9.8999999999999977E-2</v>
      </c>
      <c r="AZ10" s="386">
        <f t="shared" si="36"/>
        <v>4.3499999999999997E-2</v>
      </c>
      <c r="BA10" s="386">
        <f t="shared" ref="BA10" si="50">SUM(AX10:AY10)</f>
        <v>0.13499999999999998</v>
      </c>
      <c r="BB10" s="386">
        <f>SUM(T10,W10,Z10,AE10,AI10,AN10,AR10, AT10,AU10,BA10,AV10,AW10)</f>
        <v>0.83953842173173832</v>
      </c>
      <c r="BC10">
        <f t="shared" si="37"/>
        <v>1.44</v>
      </c>
      <c r="BD10" s="604">
        <f t="shared" ref="BD10:BD73" si="51">BC10/(BC10+BB10)</f>
        <v>0.63170683427483065</v>
      </c>
      <c r="BE10" s="614">
        <f t="shared" si="38"/>
        <v>4.5391439703246244</v>
      </c>
      <c r="BF10" s="614">
        <f t="shared" si="39"/>
        <v>0.90042996369101291</v>
      </c>
      <c r="BG10" s="9"/>
      <c r="BH10" s="4">
        <f t="shared" ref="BH10:BH73" si="52">BD10*100</f>
        <v>63.170683427483063</v>
      </c>
      <c r="BI10" s="386">
        <f t="shared" ref="BI10:BI73" si="53">T10</f>
        <v>5.2072404474627997E-5</v>
      </c>
      <c r="BJ10" s="386">
        <f t="shared" ref="BJ10:BJ73" si="54">AE10+AI10+AN10+AR10+AU10</f>
        <v>0.11120056406836672</v>
      </c>
      <c r="BK10" s="386">
        <f t="shared" si="40"/>
        <v>9.0782879406492489E-2</v>
      </c>
      <c r="BL10" s="386">
        <f t="shared" si="41"/>
        <v>1.8008599273820258E-2</v>
      </c>
      <c r="BM10" s="386">
        <f t="shared" ref="BM10:BM73" si="55">AV10</f>
        <v>4.6631809748692814E-6</v>
      </c>
      <c r="BR10" s="18"/>
      <c r="BS10" s="18"/>
      <c r="BT10" s="18"/>
      <c r="BU10" s="19"/>
    </row>
    <row r="11" spans="1:83" x14ac:dyDescent="0.2">
      <c r="A11" s="20" t="s">
        <v>4</v>
      </c>
      <c r="B11" s="5">
        <f>Vin</f>
        <v>12</v>
      </c>
      <c r="C11" s="482" t="s">
        <v>0</v>
      </c>
      <c r="D11" s="21" t="s">
        <v>4</v>
      </c>
      <c r="G11">
        <v>2</v>
      </c>
      <c r="H11" s="610">
        <f t="shared" si="0"/>
        <v>12</v>
      </c>
      <c r="I11" s="4" t="str">
        <f t="shared" si="1"/>
        <v>BUCK-BST</v>
      </c>
      <c r="J11">
        <f t="shared" si="43"/>
        <v>3</v>
      </c>
      <c r="K11" s="386">
        <f t="shared" si="44"/>
        <v>0.24</v>
      </c>
      <c r="L11" s="4">
        <f t="shared" si="2"/>
        <v>0.26666666666666666</v>
      </c>
      <c r="M11" s="4">
        <f t="shared" ref="M11:M74" si="56">K11/(1-O11)</f>
        <v>0.24935064935064932</v>
      </c>
      <c r="N11" s="386">
        <f t="shared" si="3"/>
        <v>0.96250000000000002</v>
      </c>
      <c r="O11" s="386">
        <f t="shared" si="4"/>
        <v>3.7499999999999943E-2</v>
      </c>
      <c r="P11" s="4">
        <f t="shared" si="5"/>
        <v>0</v>
      </c>
      <c r="Q11" s="4">
        <f t="shared" si="6"/>
        <v>0.24935064935064932</v>
      </c>
      <c r="R11" s="386">
        <f t="shared" si="7"/>
        <v>2.0829222100493945E-4</v>
      </c>
      <c r="S11" s="386">
        <f t="shared" si="45"/>
        <v>0</v>
      </c>
      <c r="T11" s="386">
        <f t="shared" si="46"/>
        <v>2.0829222100493945E-4</v>
      </c>
      <c r="U11" s="4">
        <f t="shared" si="8"/>
        <v>4.7372522037103328E-2</v>
      </c>
      <c r="V11" s="386">
        <f t="shared" si="9"/>
        <v>4.4883116883116809E-6</v>
      </c>
      <c r="W11" s="386">
        <f t="shared" si="47"/>
        <v>4.4883116883116809E-6</v>
      </c>
      <c r="X11" s="4">
        <f t="shared" si="10"/>
        <v>0</v>
      </c>
      <c r="Y11" s="386">
        <f t="shared" si="11"/>
        <v>0</v>
      </c>
      <c r="Z11" s="603">
        <f t="shared" si="48"/>
        <v>0</v>
      </c>
      <c r="AA11" s="386">
        <f t="shared" si="12"/>
        <v>0.24463065189006025</v>
      </c>
      <c r="AB11" s="386">
        <f t="shared" si="13"/>
        <v>3.4111168831168831E-4</v>
      </c>
      <c r="AC11" s="386">
        <f t="shared" si="14"/>
        <v>1.2320454545454544E-3</v>
      </c>
      <c r="AD11" s="386">
        <f t="shared" si="15"/>
        <v>0</v>
      </c>
      <c r="AE11" s="386">
        <f t="shared" si="16"/>
        <v>1.5732644746373637E-3</v>
      </c>
      <c r="AF11" s="386">
        <f t="shared" si="17"/>
        <v>4.8286545615053494E-2</v>
      </c>
      <c r="AG11" s="386">
        <f t="shared" si="18"/>
        <v>1.3290065778377458E-5</v>
      </c>
      <c r="AH11" s="386">
        <f t="shared" si="19"/>
        <v>2.3999999999999998E-3</v>
      </c>
      <c r="AI11" s="386">
        <f t="shared" si="20"/>
        <v>2.4132964803521705E-3</v>
      </c>
      <c r="AJ11" s="386">
        <f t="shared" si="21"/>
        <v>4.8286545615053467E-2</v>
      </c>
      <c r="AK11" s="386">
        <f t="shared" si="22"/>
        <v>4.430021926125815E-6</v>
      </c>
      <c r="AL11" s="386">
        <f t="shared" si="23"/>
        <v>5.7488094717986812E-2</v>
      </c>
      <c r="AM11" s="386">
        <f t="shared" si="24"/>
        <v>0</v>
      </c>
      <c r="AN11" s="386">
        <f t="shared" si="25"/>
        <v>5.7492575678587107E-2</v>
      </c>
      <c r="AO11" s="386">
        <f t="shared" si="49"/>
        <v>0.24463065189006025</v>
      </c>
      <c r="AP11" s="386">
        <f t="shared" si="26"/>
        <v>1.1370389610389609E-4</v>
      </c>
      <c r="AQ11" s="386">
        <f t="shared" si="27"/>
        <v>2.6666666666666666E-3</v>
      </c>
      <c r="AR11" s="386">
        <f t="shared" si="28"/>
        <v>2.7804337920015647E-3</v>
      </c>
      <c r="AS11" s="386">
        <f t="shared" si="29"/>
        <v>0</v>
      </c>
      <c r="AT11" s="386">
        <f t="shared" si="30"/>
        <v>0</v>
      </c>
      <c r="AU11" s="386">
        <f t="shared" si="31"/>
        <v>5.138978453999999E-2</v>
      </c>
      <c r="AV11" s="386">
        <f t="shared" si="32"/>
        <v>1.8652723899477126E-5</v>
      </c>
      <c r="AW11" s="386">
        <f t="shared" si="33"/>
        <v>0.59328000000000003</v>
      </c>
      <c r="AX11" s="386">
        <f t="shared" si="34"/>
        <v>3.6000000000000004E-2</v>
      </c>
      <c r="AY11" s="386">
        <f t="shared" si="35"/>
        <v>9.8999999999999977E-2</v>
      </c>
      <c r="AZ11" s="386">
        <f t="shared" si="36"/>
        <v>4.3499999999999997E-2</v>
      </c>
      <c r="BA11" s="386">
        <f t="shared" ref="BA11:BA74" si="57">SUM(AX11:AY11)</f>
        <v>0.13499999999999998</v>
      </c>
      <c r="BB11" s="386">
        <f t="shared" ref="BB11:BB74" si="58">SUM(T11,W11,Z11,AE11,AI11,AN11,AR11, AT11,AU11,BA11,AV11,AW11)</f>
        <v>0.84416078822217089</v>
      </c>
      <c r="BC11">
        <f t="shared" si="37"/>
        <v>2.88</v>
      </c>
      <c r="BD11" s="604">
        <f t="shared" si="51"/>
        <v>0.77332858696867546</v>
      </c>
      <c r="BE11" s="614">
        <f t="shared" si="38"/>
        <v>4.5704916737493555</v>
      </c>
      <c r="BF11" s="614">
        <f t="shared" si="39"/>
        <v>0.98695313451007805</v>
      </c>
      <c r="BG11" s="9"/>
      <c r="BH11" s="4">
        <f t="shared" si="52"/>
        <v>77.332858696867547</v>
      </c>
      <c r="BI11" s="386">
        <f t="shared" si="53"/>
        <v>2.0829222100493945E-4</v>
      </c>
      <c r="BJ11" s="386">
        <f t="shared" si="54"/>
        <v>0.11564935496557818</v>
      </c>
      <c r="BK11" s="386">
        <f t="shared" si="40"/>
        <v>9.1409833474987101E-2</v>
      </c>
      <c r="BL11" s="386">
        <f t="shared" si="41"/>
        <v>1.9739062690201561E-2</v>
      </c>
      <c r="BM11" s="386">
        <f t="shared" si="55"/>
        <v>1.8652723899477126E-5</v>
      </c>
      <c r="BQ11" t="s">
        <v>138</v>
      </c>
      <c r="BR11" s="18">
        <v>90</v>
      </c>
      <c r="BS11" s="18">
        <v>90</v>
      </c>
      <c r="BT11" s="18">
        <v>90</v>
      </c>
      <c r="BU11" s="19">
        <f>250000*(12-Vdd)*BT11/1000000000+((250000*BT9/1000000000*Vdd)*2.5/(2*4))</f>
        <v>0.14226562500000001</v>
      </c>
      <c r="BV11">
        <f t="shared" si="42"/>
        <v>11.381250000000001</v>
      </c>
      <c r="BW11">
        <f t="shared" si="42"/>
        <v>14.2265625</v>
      </c>
      <c r="BX11">
        <f t="shared" si="42"/>
        <v>17.071875000000002</v>
      </c>
      <c r="BY11">
        <f t="shared" si="42"/>
        <v>19.917187500000001</v>
      </c>
      <c r="BZ11">
        <f t="shared" si="42"/>
        <v>22.762500000000003</v>
      </c>
      <c r="CA11">
        <f t="shared" si="42"/>
        <v>25.607812500000001</v>
      </c>
      <c r="CB11">
        <f t="shared" si="42"/>
        <v>2.8453125000000004</v>
      </c>
      <c r="CC11">
        <f t="shared" si="42"/>
        <v>4.2679687500000005</v>
      </c>
      <c r="CD11">
        <f t="shared" si="42"/>
        <v>5.6906250000000007</v>
      </c>
      <c r="CE11">
        <f t="shared" si="42"/>
        <v>7.11328125</v>
      </c>
    </row>
    <row r="12" spans="1:83" x14ac:dyDescent="0.2">
      <c r="A12" s="22" t="s">
        <v>5</v>
      </c>
      <c r="B12" s="5">
        <f>Vout</f>
        <v>12</v>
      </c>
      <c r="C12" s="482" t="s">
        <v>0</v>
      </c>
      <c r="D12" s="21" t="s">
        <v>5</v>
      </c>
      <c r="G12">
        <v>3</v>
      </c>
      <c r="H12" s="610">
        <f t="shared" si="0"/>
        <v>12</v>
      </c>
      <c r="I12" s="4" t="str">
        <f t="shared" si="1"/>
        <v>BUCK-BST</v>
      </c>
      <c r="J12">
        <f t="shared" si="43"/>
        <v>3</v>
      </c>
      <c r="K12" s="386">
        <f t="shared" si="44"/>
        <v>0.36</v>
      </c>
      <c r="L12" s="4">
        <f t="shared" si="2"/>
        <v>0.4</v>
      </c>
      <c r="M12" s="4">
        <f t="shared" si="56"/>
        <v>0.37402597402597398</v>
      </c>
      <c r="N12" s="386">
        <f t="shared" si="3"/>
        <v>0.96250000000000002</v>
      </c>
      <c r="O12" s="386">
        <f t="shared" si="4"/>
        <v>3.7499999999999943E-2</v>
      </c>
      <c r="P12" s="4">
        <f t="shared" si="5"/>
        <v>0</v>
      </c>
      <c r="Q12" s="4">
        <f t="shared" si="6"/>
        <v>0.37402597402597398</v>
      </c>
      <c r="R12" s="386">
        <f t="shared" si="7"/>
        <v>4.6866725923554761E-4</v>
      </c>
      <c r="S12" s="386">
        <f t="shared" si="45"/>
        <v>0</v>
      </c>
      <c r="T12" s="386">
        <f t="shared" si="46"/>
        <v>4.6866725923554761E-4</v>
      </c>
      <c r="U12" s="4">
        <f t="shared" si="8"/>
        <v>7.1058783055654995E-2</v>
      </c>
      <c r="V12" s="386">
        <f t="shared" si="9"/>
        <v>1.0098701298701283E-5</v>
      </c>
      <c r="W12" s="386">
        <f t="shared" si="47"/>
        <v>1.0098701298701283E-5</v>
      </c>
      <c r="X12" s="4">
        <f t="shared" si="10"/>
        <v>0</v>
      </c>
      <c r="Y12" s="386">
        <f t="shared" si="11"/>
        <v>0</v>
      </c>
      <c r="Z12" s="603">
        <f t="shared" si="48"/>
        <v>0</v>
      </c>
      <c r="AA12" s="386">
        <f t="shared" si="12"/>
        <v>0.36694597783509036</v>
      </c>
      <c r="AB12" s="386">
        <f t="shared" si="13"/>
        <v>7.6750129870129858E-4</v>
      </c>
      <c r="AC12" s="386">
        <f t="shared" si="14"/>
        <v>1.8480681818181816E-3</v>
      </c>
      <c r="AD12" s="386">
        <f t="shared" si="15"/>
        <v>0</v>
      </c>
      <c r="AE12" s="386">
        <f t="shared" si="16"/>
        <v>2.6159710327524803E-3</v>
      </c>
      <c r="AF12" s="386">
        <f t="shared" si="17"/>
        <v>7.2429818422580242E-2</v>
      </c>
      <c r="AG12" s="386">
        <f t="shared" si="18"/>
        <v>2.9902648001349285E-5</v>
      </c>
      <c r="AH12" s="386">
        <f t="shared" si="19"/>
        <v>3.5999999999999999E-3</v>
      </c>
      <c r="AI12" s="386">
        <f t="shared" si="20"/>
        <v>3.6299243568714123E-3</v>
      </c>
      <c r="AJ12" s="386">
        <f t="shared" si="21"/>
        <v>7.24298184225802E-2</v>
      </c>
      <c r="AK12" s="386">
        <f t="shared" si="22"/>
        <v>9.9675493337830819E-6</v>
      </c>
      <c r="AL12" s="386">
        <f t="shared" si="23"/>
        <v>5.7488094717986812E-2</v>
      </c>
      <c r="AM12" s="386">
        <f t="shared" si="24"/>
        <v>0</v>
      </c>
      <c r="AN12" s="386">
        <f t="shared" si="25"/>
        <v>5.7498176890503551E-2</v>
      </c>
      <c r="AO12" s="386">
        <f t="shared" si="49"/>
        <v>0.36694597783509036</v>
      </c>
      <c r="AP12" s="386">
        <f t="shared" si="26"/>
        <v>2.5583376623376618E-4</v>
      </c>
      <c r="AQ12" s="386">
        <f t="shared" si="27"/>
        <v>4.0000000000000001E-3</v>
      </c>
      <c r="AR12" s="386">
        <f t="shared" si="28"/>
        <v>4.2560515345724413E-3</v>
      </c>
      <c r="AS12" s="386">
        <f t="shared" si="29"/>
        <v>0</v>
      </c>
      <c r="AT12" s="386">
        <f t="shared" si="30"/>
        <v>0</v>
      </c>
      <c r="AU12" s="386">
        <f t="shared" si="31"/>
        <v>5.2334515214999988E-2</v>
      </c>
      <c r="AV12" s="386">
        <f t="shared" si="32"/>
        <v>4.196862877382353E-5</v>
      </c>
      <c r="AW12" s="386">
        <f t="shared" si="33"/>
        <v>0.59328000000000003</v>
      </c>
      <c r="AX12" s="386">
        <f t="shared" si="34"/>
        <v>3.6000000000000004E-2</v>
      </c>
      <c r="AY12" s="386">
        <f t="shared" si="35"/>
        <v>9.8999999999999977E-2</v>
      </c>
      <c r="AZ12" s="386">
        <f t="shared" si="36"/>
        <v>4.3499999999999997E-2</v>
      </c>
      <c r="BA12" s="386">
        <f t="shared" si="57"/>
        <v>0.13499999999999998</v>
      </c>
      <c r="BB12" s="386">
        <f t="shared" si="58"/>
        <v>0.84913537361900793</v>
      </c>
      <c r="BC12">
        <f t="shared" si="37"/>
        <v>4.32</v>
      </c>
      <c r="BD12" s="604">
        <f t="shared" si="51"/>
        <v>0.83572970869507091</v>
      </c>
      <c r="BE12" s="614">
        <f t="shared" si="38"/>
        <v>4.6019478466201775</v>
      </c>
      <c r="BF12" s="614">
        <f t="shared" si="39"/>
        <v>1.0763220777761218</v>
      </c>
      <c r="BG12" s="9"/>
      <c r="BH12" s="4">
        <f t="shared" si="52"/>
        <v>83.572970869507088</v>
      </c>
      <c r="BI12" s="386">
        <f t="shared" si="53"/>
        <v>4.6866725923554761E-4</v>
      </c>
      <c r="BJ12" s="386">
        <f t="shared" si="54"/>
        <v>0.12033463902969987</v>
      </c>
      <c r="BK12" s="386">
        <f t="shared" si="40"/>
        <v>9.2038956932403548E-2</v>
      </c>
      <c r="BL12" s="386">
        <f t="shared" si="41"/>
        <v>2.1526441555522437E-2</v>
      </c>
      <c r="BM12" s="386">
        <f t="shared" si="55"/>
        <v>4.196862877382353E-5</v>
      </c>
      <c r="BQ12" t="s">
        <v>143</v>
      </c>
      <c r="BR12" s="18">
        <v>60</v>
      </c>
      <c r="BS12" s="18">
        <v>60</v>
      </c>
      <c r="BT12" s="18">
        <v>60</v>
      </c>
      <c r="BU12" s="19">
        <f>250000*(18-Vdd)*BT12/1000000000+((250000*BT9/1000000000*Vdd)*2.5/(2*4))</f>
        <v>0.198515625</v>
      </c>
      <c r="BV12">
        <f t="shared" si="42"/>
        <v>15.88125</v>
      </c>
      <c r="BW12">
        <f t="shared" si="42"/>
        <v>19.8515625</v>
      </c>
      <c r="BX12">
        <f t="shared" si="42"/>
        <v>23.821874999999999</v>
      </c>
      <c r="BY12">
        <f t="shared" si="42"/>
        <v>27.792187500000001</v>
      </c>
      <c r="BZ12">
        <f t="shared" si="42"/>
        <v>31.762499999999999</v>
      </c>
      <c r="CA12">
        <f t="shared" si="42"/>
        <v>35.732812500000001</v>
      </c>
      <c r="CB12">
        <f t="shared" si="42"/>
        <v>3.9703124999999999</v>
      </c>
      <c r="CC12">
        <f t="shared" si="42"/>
        <v>5.9554687499999996</v>
      </c>
      <c r="CD12">
        <f t="shared" si="42"/>
        <v>7.9406249999999998</v>
      </c>
      <c r="CE12">
        <f t="shared" si="42"/>
        <v>9.92578125</v>
      </c>
    </row>
    <row r="13" spans="1:83" x14ac:dyDescent="0.2">
      <c r="A13" s="22" t="s">
        <v>7</v>
      </c>
      <c r="B13" s="5">
        <f>Fsw/1000</f>
        <v>250</v>
      </c>
      <c r="C13" s="482" t="s">
        <v>3</v>
      </c>
      <c r="D13" s="21" t="s">
        <v>98</v>
      </c>
      <c r="G13">
        <v>4</v>
      </c>
      <c r="H13" s="610">
        <f t="shared" si="0"/>
        <v>12</v>
      </c>
      <c r="I13" s="4" t="str">
        <f t="shared" si="1"/>
        <v>BUCK-BST</v>
      </c>
      <c r="J13">
        <f t="shared" si="43"/>
        <v>3</v>
      </c>
      <c r="K13" s="386">
        <f t="shared" si="44"/>
        <v>0.48</v>
      </c>
      <c r="L13" s="4">
        <f t="shared" si="2"/>
        <v>0.53333333333333333</v>
      </c>
      <c r="M13" s="4">
        <f t="shared" si="56"/>
        <v>0.49870129870129865</v>
      </c>
      <c r="N13" s="386">
        <f t="shared" si="3"/>
        <v>0.96250000000000002</v>
      </c>
      <c r="O13" s="386">
        <f t="shared" si="4"/>
        <v>3.7499999999999943E-2</v>
      </c>
      <c r="P13" s="4">
        <f t="shared" si="5"/>
        <v>0</v>
      </c>
      <c r="Q13" s="4">
        <f t="shared" si="6"/>
        <v>0.49870129870129865</v>
      </c>
      <c r="R13" s="386">
        <f t="shared" si="7"/>
        <v>8.3321053632532001E-4</v>
      </c>
      <c r="S13" s="386">
        <f t="shared" si="45"/>
        <v>0</v>
      </c>
      <c r="T13" s="386">
        <f t="shared" si="46"/>
        <v>8.3321053632532001E-4</v>
      </c>
      <c r="U13" s="4">
        <f t="shared" si="8"/>
        <v>9.4745044074206655E-2</v>
      </c>
      <c r="V13" s="386">
        <f t="shared" si="9"/>
        <v>1.7953246753246724E-5</v>
      </c>
      <c r="W13" s="386">
        <f t="shared" si="47"/>
        <v>1.7953246753246724E-5</v>
      </c>
      <c r="X13" s="4">
        <f t="shared" si="10"/>
        <v>0</v>
      </c>
      <c r="Y13" s="386">
        <f t="shared" si="11"/>
        <v>0</v>
      </c>
      <c r="Z13" s="603">
        <f t="shared" si="48"/>
        <v>0</v>
      </c>
      <c r="AA13" s="386">
        <f t="shared" si="12"/>
        <v>0.4892613037801205</v>
      </c>
      <c r="AB13" s="386">
        <f t="shared" si="13"/>
        <v>1.3644467532467532E-3</v>
      </c>
      <c r="AC13" s="386">
        <f t="shared" si="14"/>
        <v>2.4640909090909088E-3</v>
      </c>
      <c r="AD13" s="386">
        <f t="shared" si="15"/>
        <v>0</v>
      </c>
      <c r="AE13" s="386">
        <f t="shared" si="16"/>
        <v>3.8295827146779286E-3</v>
      </c>
      <c r="AF13" s="386">
        <f t="shared" si="17"/>
        <v>9.6573091230106989E-2</v>
      </c>
      <c r="AG13" s="386">
        <f t="shared" si="18"/>
        <v>5.3160263113509834E-5</v>
      </c>
      <c r="AH13" s="386">
        <f t="shared" si="19"/>
        <v>4.7999999999999996E-3</v>
      </c>
      <c r="AI13" s="386">
        <f t="shared" si="20"/>
        <v>4.8532118627174232E-3</v>
      </c>
      <c r="AJ13" s="386">
        <f t="shared" si="21"/>
        <v>9.6573091230106933E-2</v>
      </c>
      <c r="AK13" s="386">
        <f t="shared" si="22"/>
        <v>1.772008770450326E-5</v>
      </c>
      <c r="AL13" s="386">
        <f t="shared" si="23"/>
        <v>5.7488094717986812E-2</v>
      </c>
      <c r="AM13" s="386">
        <f t="shared" si="24"/>
        <v>0</v>
      </c>
      <c r="AN13" s="386">
        <f t="shared" si="25"/>
        <v>5.7506018608029966E-2</v>
      </c>
      <c r="AO13" s="386">
        <f t="shared" si="49"/>
        <v>0.4892613037801205</v>
      </c>
      <c r="AP13" s="386">
        <f t="shared" si="26"/>
        <v>4.5481558441558435E-4</v>
      </c>
      <c r="AQ13" s="386">
        <f t="shared" si="27"/>
        <v>5.3333333333333332E-3</v>
      </c>
      <c r="AR13" s="386">
        <f t="shared" si="28"/>
        <v>5.7886754737126317E-3</v>
      </c>
      <c r="AS13" s="386">
        <f t="shared" si="29"/>
        <v>0</v>
      </c>
      <c r="AT13" s="386">
        <f t="shared" si="30"/>
        <v>0</v>
      </c>
      <c r="AU13" s="386">
        <f t="shared" si="31"/>
        <v>5.3279138159999989E-2</v>
      </c>
      <c r="AV13" s="386">
        <f t="shared" si="32"/>
        <v>7.4610895597908503E-5</v>
      </c>
      <c r="AW13" s="386">
        <f t="shared" si="33"/>
        <v>0.59328000000000003</v>
      </c>
      <c r="AX13" s="386">
        <f t="shared" si="34"/>
        <v>3.6000000000000004E-2</v>
      </c>
      <c r="AY13" s="386">
        <f t="shared" si="35"/>
        <v>9.8999999999999977E-2</v>
      </c>
      <c r="AZ13" s="386">
        <f t="shared" si="36"/>
        <v>4.3499999999999997E-2</v>
      </c>
      <c r="BA13" s="386">
        <f t="shared" si="57"/>
        <v>0.13499999999999998</v>
      </c>
      <c r="BB13" s="386">
        <f t="shared" si="58"/>
        <v>0.85446240149781438</v>
      </c>
      <c r="BC13">
        <f t="shared" si="37"/>
        <v>5.76</v>
      </c>
      <c r="BD13" s="604">
        <f t="shared" si="51"/>
        <v>0.87081907045018125</v>
      </c>
      <c r="BE13" s="614">
        <f t="shared" si="38"/>
        <v>4.6335124896814985</v>
      </c>
      <c r="BF13" s="614">
        <f t="shared" si="39"/>
        <v>1.1685395533256315</v>
      </c>
      <c r="BG13" s="9"/>
      <c r="BH13" s="4">
        <f t="shared" si="52"/>
        <v>87.081907045018127</v>
      </c>
      <c r="BI13" s="386">
        <f t="shared" si="53"/>
        <v>8.3321053632532001E-4</v>
      </c>
      <c r="BJ13" s="386">
        <f t="shared" si="54"/>
        <v>0.12525662681913793</v>
      </c>
      <c r="BK13" s="386">
        <f t="shared" si="40"/>
        <v>9.2670249793629964E-2</v>
      </c>
      <c r="BL13" s="386">
        <f t="shared" si="41"/>
        <v>2.3370791066512631E-2</v>
      </c>
      <c r="BM13" s="386">
        <f t="shared" si="55"/>
        <v>7.4610895597908503E-5</v>
      </c>
      <c r="BQ13" t="s">
        <v>139</v>
      </c>
      <c r="BR13" s="18">
        <v>30</v>
      </c>
      <c r="BS13" s="18">
        <v>30</v>
      </c>
      <c r="BT13" s="18">
        <v>30</v>
      </c>
      <c r="BU13" s="19">
        <f>500000*(5-Vdd)*BT13/1000000000+((500000*BT9/1000000000*Vdd)*2.5/(2*4))</f>
        <v>4.4531250000000001E-2</v>
      </c>
      <c r="BV13">
        <f t="shared" si="42"/>
        <v>3.5625</v>
      </c>
      <c r="BW13">
        <f t="shared" si="42"/>
        <v>4.453125</v>
      </c>
      <c r="BX13">
        <f t="shared" si="42"/>
        <v>5.34375</v>
      </c>
      <c r="BY13">
        <f t="shared" si="42"/>
        <v>6.234375</v>
      </c>
      <c r="BZ13">
        <f t="shared" si="42"/>
        <v>7.125</v>
      </c>
      <c r="CA13">
        <f t="shared" si="42"/>
        <v>8.015625</v>
      </c>
      <c r="CB13">
        <f t="shared" si="42"/>
        <v>0.890625</v>
      </c>
      <c r="CC13">
        <f t="shared" si="42"/>
        <v>1.3359375</v>
      </c>
      <c r="CD13">
        <f t="shared" si="42"/>
        <v>1.78125</v>
      </c>
      <c r="CE13">
        <f t="shared" si="42"/>
        <v>2.2265625</v>
      </c>
    </row>
    <row r="14" spans="1:83" x14ac:dyDescent="0.2">
      <c r="A14" s="22" t="s">
        <v>6</v>
      </c>
      <c r="B14" s="5">
        <f>Iout</f>
        <v>12</v>
      </c>
      <c r="C14" s="482" t="s">
        <v>2</v>
      </c>
      <c r="D14" s="21" t="s">
        <v>99</v>
      </c>
      <c r="G14">
        <v>5</v>
      </c>
      <c r="H14" s="610">
        <f t="shared" si="0"/>
        <v>12</v>
      </c>
      <c r="I14" s="4" t="str">
        <f t="shared" si="1"/>
        <v>BUCK-BST</v>
      </c>
      <c r="J14">
        <f t="shared" si="43"/>
        <v>3</v>
      </c>
      <c r="K14" s="386">
        <f t="shared" si="44"/>
        <v>0.6</v>
      </c>
      <c r="L14" s="4">
        <f t="shared" si="2"/>
        <v>0.66666666666666652</v>
      </c>
      <c r="M14" s="4">
        <f t="shared" si="56"/>
        <v>0.62337662337662336</v>
      </c>
      <c r="N14" s="386">
        <f t="shared" si="3"/>
        <v>0.96250000000000002</v>
      </c>
      <c r="O14" s="386">
        <f t="shared" si="4"/>
        <v>3.7499999999999943E-2</v>
      </c>
      <c r="P14" s="4">
        <f t="shared" si="5"/>
        <v>0</v>
      </c>
      <c r="Q14" s="4">
        <f t="shared" si="6"/>
        <v>0.62337662337662336</v>
      </c>
      <c r="R14" s="386">
        <f t="shared" si="7"/>
        <v>1.3019402785744126E-3</v>
      </c>
      <c r="S14" s="386">
        <f t="shared" si="45"/>
        <v>0</v>
      </c>
      <c r="T14" s="386">
        <f t="shared" si="46"/>
        <v>1.3019402785744126E-3</v>
      </c>
      <c r="U14" s="4">
        <f t="shared" si="8"/>
        <v>0.11843130509275832</v>
      </c>
      <c r="V14" s="386">
        <f t="shared" si="9"/>
        <v>2.8051948051948005E-5</v>
      </c>
      <c r="W14" s="386">
        <f t="shared" si="47"/>
        <v>2.8051948051948005E-5</v>
      </c>
      <c r="X14" s="4">
        <f t="shared" si="10"/>
        <v>0</v>
      </c>
      <c r="Y14" s="386">
        <f t="shared" si="11"/>
        <v>0</v>
      </c>
      <c r="Z14" s="603">
        <f t="shared" si="48"/>
        <v>0</v>
      </c>
      <c r="AA14" s="386">
        <f t="shared" si="12"/>
        <v>0.6115766297251507</v>
      </c>
      <c r="AB14" s="386">
        <f t="shared" si="13"/>
        <v>2.1319480519480525E-3</v>
      </c>
      <c r="AC14" s="386">
        <f t="shared" si="14"/>
        <v>3.0801136363636356E-3</v>
      </c>
      <c r="AD14" s="386">
        <f t="shared" si="15"/>
        <v>0</v>
      </c>
      <c r="AE14" s="386">
        <f t="shared" si="16"/>
        <v>5.214285005263543E-3</v>
      </c>
      <c r="AF14" s="386">
        <f t="shared" si="17"/>
        <v>0.12071636403763374</v>
      </c>
      <c r="AG14" s="386">
        <f t="shared" si="18"/>
        <v>8.3062911114859122E-5</v>
      </c>
      <c r="AH14" s="386">
        <f t="shared" si="19"/>
        <v>6.0000000000000001E-3</v>
      </c>
      <c r="AI14" s="386">
        <f t="shared" si="20"/>
        <v>6.0831639681764565E-3</v>
      </c>
      <c r="AJ14" s="386">
        <f t="shared" si="21"/>
        <v>0.12071636403763367</v>
      </c>
      <c r="AK14" s="386">
        <f t="shared" si="22"/>
        <v>2.768763703828634E-5</v>
      </c>
      <c r="AL14" s="386">
        <f t="shared" si="23"/>
        <v>5.7488094717986812E-2</v>
      </c>
      <c r="AM14" s="386">
        <f t="shared" si="24"/>
        <v>0</v>
      </c>
      <c r="AN14" s="386">
        <f t="shared" si="25"/>
        <v>5.7516100852009949E-2</v>
      </c>
      <c r="AO14" s="386">
        <f t="shared" si="49"/>
        <v>0.6115766297251507</v>
      </c>
      <c r="AP14" s="386">
        <f t="shared" si="26"/>
        <v>7.1064935064935075E-4</v>
      </c>
      <c r="AQ14" s="386">
        <f t="shared" si="27"/>
        <v>6.6666666666666654E-3</v>
      </c>
      <c r="AR14" s="386">
        <f t="shared" si="28"/>
        <v>7.3783647033330716E-3</v>
      </c>
      <c r="AS14" s="386">
        <f t="shared" si="29"/>
        <v>0</v>
      </c>
      <c r="AT14" s="386">
        <f t="shared" si="30"/>
        <v>0</v>
      </c>
      <c r="AU14" s="386">
        <f t="shared" si="31"/>
        <v>5.4223653374999986E-2</v>
      </c>
      <c r="AV14" s="386">
        <f t="shared" si="32"/>
        <v>1.1657952437173203E-4</v>
      </c>
      <c r="AW14" s="386">
        <f t="shared" si="33"/>
        <v>0.59328000000000003</v>
      </c>
      <c r="AX14" s="386">
        <f t="shared" si="34"/>
        <v>3.6000000000000004E-2</v>
      </c>
      <c r="AY14" s="386">
        <f t="shared" si="35"/>
        <v>9.8999999999999977E-2</v>
      </c>
      <c r="AZ14" s="386">
        <f t="shared" si="36"/>
        <v>4.3499999999999997E-2</v>
      </c>
      <c r="BA14" s="386">
        <f t="shared" si="57"/>
        <v>0.13499999999999998</v>
      </c>
      <c r="BB14" s="386">
        <f t="shared" si="58"/>
        <v>0.86014213965478103</v>
      </c>
      <c r="BC14">
        <f t="shared" si="37"/>
        <v>7.1999999999999993</v>
      </c>
      <c r="BD14" s="604">
        <f t="shared" si="51"/>
        <v>0.89328449489457495</v>
      </c>
      <c r="BE14" s="614">
        <f t="shared" si="38"/>
        <v>4.6651856039754964</v>
      </c>
      <c r="BF14" s="614">
        <f t="shared" si="39"/>
        <v>1.2636085158541535</v>
      </c>
      <c r="BG14" s="9"/>
      <c r="BH14" s="4">
        <f t="shared" si="52"/>
        <v>89.328449489457498</v>
      </c>
      <c r="BI14" s="386">
        <f t="shared" si="53"/>
        <v>1.3019402785744126E-3</v>
      </c>
      <c r="BJ14" s="386">
        <f t="shared" si="54"/>
        <v>0.130415567903783</v>
      </c>
      <c r="BK14" s="386">
        <f t="shared" si="40"/>
        <v>9.3303712079509937E-2</v>
      </c>
      <c r="BL14" s="386">
        <f t="shared" si="41"/>
        <v>2.5272170317083068E-2</v>
      </c>
      <c r="BM14" s="386">
        <f t="shared" si="55"/>
        <v>1.1657952437173203E-4</v>
      </c>
      <c r="BQ14" t="s">
        <v>142</v>
      </c>
      <c r="BR14" s="18">
        <v>45</v>
      </c>
      <c r="BS14" s="18">
        <v>45</v>
      </c>
      <c r="BT14" s="18">
        <v>45</v>
      </c>
      <c r="BU14" s="19">
        <f>500000*(12-Vdd)*BT14/1000000000+((500000*BT9/1000000000*Vdd)*2.5/(2*4))</f>
        <v>0.18328125000000001</v>
      </c>
      <c r="BV14">
        <f t="shared" si="42"/>
        <v>14.662500000000001</v>
      </c>
      <c r="BW14">
        <f t="shared" si="42"/>
        <v>18.328125</v>
      </c>
      <c r="BX14">
        <f t="shared" si="42"/>
        <v>21.993750000000002</v>
      </c>
      <c r="BY14">
        <f t="shared" si="42"/>
        <v>25.659375000000001</v>
      </c>
      <c r="BZ14">
        <f t="shared" si="42"/>
        <v>29.325000000000003</v>
      </c>
      <c r="CA14">
        <f t="shared" si="42"/>
        <v>32.990625000000001</v>
      </c>
      <c r="CB14">
        <f t="shared" si="42"/>
        <v>3.6656250000000004</v>
      </c>
      <c r="CC14">
        <f t="shared" si="42"/>
        <v>5.4984375000000005</v>
      </c>
      <c r="CD14">
        <f t="shared" si="42"/>
        <v>7.3312500000000007</v>
      </c>
      <c r="CE14">
        <f t="shared" si="42"/>
        <v>9.1640625</v>
      </c>
    </row>
    <row r="15" spans="1:83" x14ac:dyDescent="0.2">
      <c r="A15" s="23" t="s">
        <v>87</v>
      </c>
      <c r="B15" s="5">
        <f>Ta</f>
        <v>25</v>
      </c>
      <c r="C15" s="482" t="s">
        <v>673</v>
      </c>
      <c r="D15" s="21" t="s">
        <v>100</v>
      </c>
      <c r="G15">
        <v>6</v>
      </c>
      <c r="H15" s="610">
        <f t="shared" si="0"/>
        <v>12</v>
      </c>
      <c r="I15" s="4" t="str">
        <f t="shared" si="1"/>
        <v>BUCK-BST</v>
      </c>
      <c r="J15">
        <f t="shared" si="43"/>
        <v>3</v>
      </c>
      <c r="K15" s="386">
        <f t="shared" si="44"/>
        <v>0.72</v>
      </c>
      <c r="L15" s="4">
        <f t="shared" si="2"/>
        <v>0.8</v>
      </c>
      <c r="M15" s="4">
        <f t="shared" si="56"/>
        <v>0.74805194805194797</v>
      </c>
      <c r="N15" s="386">
        <f t="shared" si="3"/>
        <v>0.96250000000000002</v>
      </c>
      <c r="O15" s="386">
        <f t="shared" si="4"/>
        <v>3.7499999999999943E-2</v>
      </c>
      <c r="P15" s="4">
        <f t="shared" si="5"/>
        <v>0</v>
      </c>
      <c r="Q15" s="4">
        <f t="shared" si="6"/>
        <v>0.74805194805194797</v>
      </c>
      <c r="R15" s="386">
        <f t="shared" si="7"/>
        <v>1.8748799237026472E-3</v>
      </c>
      <c r="S15" s="386">
        <f t="shared" si="45"/>
        <v>0</v>
      </c>
      <c r="T15" s="386">
        <f t="shared" si="46"/>
        <v>1.8748799237026472E-3</v>
      </c>
      <c r="U15" s="4">
        <f t="shared" si="8"/>
        <v>0.14211756611130999</v>
      </c>
      <c r="V15" s="386">
        <f t="shared" si="9"/>
        <v>4.0394805194805132E-5</v>
      </c>
      <c r="W15" s="386">
        <f t="shared" si="47"/>
        <v>4.0394805194805132E-5</v>
      </c>
      <c r="X15" s="4">
        <f t="shared" si="10"/>
        <v>0</v>
      </c>
      <c r="Y15" s="386">
        <f t="shared" si="11"/>
        <v>0</v>
      </c>
      <c r="Z15" s="603">
        <f t="shared" si="48"/>
        <v>0</v>
      </c>
      <c r="AA15" s="386">
        <f t="shared" si="12"/>
        <v>0.73389195567018073</v>
      </c>
      <c r="AB15" s="386">
        <f t="shared" si="13"/>
        <v>3.0700051948051943E-3</v>
      </c>
      <c r="AC15" s="386">
        <f t="shared" si="14"/>
        <v>3.6961363636363632E-3</v>
      </c>
      <c r="AD15" s="386">
        <f t="shared" si="15"/>
        <v>0</v>
      </c>
      <c r="AE15" s="386">
        <f t="shared" si="16"/>
        <v>6.7702985287723004E-3</v>
      </c>
      <c r="AF15" s="386">
        <f t="shared" si="17"/>
        <v>0.14485963684516048</v>
      </c>
      <c r="AG15" s="386">
        <f t="shared" si="18"/>
        <v>1.1961059200539714E-4</v>
      </c>
      <c r="AH15" s="386">
        <f t="shared" si="19"/>
        <v>7.1999999999999998E-3</v>
      </c>
      <c r="AI15" s="386">
        <f t="shared" si="20"/>
        <v>7.3197856967855057E-3</v>
      </c>
      <c r="AJ15" s="386">
        <f t="shared" si="21"/>
        <v>0.1448596368451604</v>
      </c>
      <c r="AK15" s="386">
        <f t="shared" si="22"/>
        <v>3.9870197335132328E-5</v>
      </c>
      <c r="AL15" s="386">
        <f t="shared" si="23"/>
        <v>5.7488094717986812E-2</v>
      </c>
      <c r="AM15" s="386">
        <f t="shared" si="24"/>
        <v>0</v>
      </c>
      <c r="AN15" s="386">
        <f t="shared" si="25"/>
        <v>5.7528423649242599E-2</v>
      </c>
      <c r="AO15" s="386">
        <f t="shared" si="49"/>
        <v>0.73389195567018073</v>
      </c>
      <c r="AP15" s="386">
        <f t="shared" si="26"/>
        <v>1.0233350649350647E-3</v>
      </c>
      <c r="AQ15" s="386">
        <f t="shared" si="27"/>
        <v>8.0000000000000002E-3</v>
      </c>
      <c r="AR15" s="386">
        <f t="shared" si="28"/>
        <v>9.0251822220221104E-3</v>
      </c>
      <c r="AS15" s="386">
        <f t="shared" si="29"/>
        <v>0</v>
      </c>
      <c r="AT15" s="386">
        <f t="shared" si="30"/>
        <v>0</v>
      </c>
      <c r="AU15" s="386">
        <f t="shared" si="31"/>
        <v>5.5168060859999986E-2</v>
      </c>
      <c r="AV15" s="386">
        <f t="shared" si="32"/>
        <v>1.6787451509529412E-4</v>
      </c>
      <c r="AW15" s="386">
        <f t="shared" si="33"/>
        <v>0.59328000000000003</v>
      </c>
      <c r="AX15" s="386">
        <f t="shared" si="34"/>
        <v>3.6000000000000004E-2</v>
      </c>
      <c r="AY15" s="386">
        <f t="shared" si="35"/>
        <v>9.8999999999999977E-2</v>
      </c>
      <c r="AZ15" s="386">
        <f t="shared" si="36"/>
        <v>4.3499999999999997E-2</v>
      </c>
      <c r="BA15" s="386">
        <f t="shared" si="57"/>
        <v>0.13499999999999998</v>
      </c>
      <c r="BB15" s="386">
        <f t="shared" si="58"/>
        <v>0.86617490020081522</v>
      </c>
      <c r="BC15">
        <f t="shared" si="37"/>
        <v>8.64</v>
      </c>
      <c r="BD15" s="604">
        <f t="shared" si="51"/>
        <v>0.90888291986059333</v>
      </c>
      <c r="BE15" s="614">
        <f t="shared" si="38"/>
        <v>4.6969671908421304</v>
      </c>
      <c r="BF15" s="614">
        <f t="shared" si="39"/>
        <v>1.3615321152911055</v>
      </c>
      <c r="BG15" s="9"/>
      <c r="BH15" s="4">
        <f t="shared" si="52"/>
        <v>90.888291986059329</v>
      </c>
      <c r="BI15" s="386">
        <f t="shared" si="53"/>
        <v>1.8748799237026472E-3</v>
      </c>
      <c r="BJ15" s="386">
        <f t="shared" si="54"/>
        <v>0.13581175095682252</v>
      </c>
      <c r="BK15" s="386">
        <f t="shared" si="40"/>
        <v>9.3939343816842602E-2</v>
      </c>
      <c r="BL15" s="386">
        <f t="shared" si="41"/>
        <v>2.723064230582211E-2</v>
      </c>
      <c r="BM15" s="386">
        <f t="shared" si="55"/>
        <v>1.6787451509529412E-4</v>
      </c>
      <c r="BQ15" t="s">
        <v>140</v>
      </c>
      <c r="BR15" s="18">
        <v>20</v>
      </c>
      <c r="BS15" s="18">
        <v>20</v>
      </c>
      <c r="BT15" s="18">
        <v>20</v>
      </c>
      <c r="BU15" s="19">
        <f>1000000*(5-Vdd)*BT15/1000000000+((1000000*BT9/1000000000*Vdd)*2.5/(2*4))</f>
        <v>0.1140625</v>
      </c>
      <c r="BV15">
        <f t="shared" si="42"/>
        <v>9.125</v>
      </c>
      <c r="BW15">
        <f t="shared" si="42"/>
        <v>11.40625</v>
      </c>
      <c r="BX15">
        <f t="shared" si="42"/>
        <v>13.6875</v>
      </c>
      <c r="BY15">
        <f t="shared" si="42"/>
        <v>15.96875</v>
      </c>
      <c r="BZ15">
        <f t="shared" si="42"/>
        <v>18.25</v>
      </c>
      <c r="CA15">
        <f t="shared" si="42"/>
        <v>20.53125</v>
      </c>
      <c r="CB15">
        <f t="shared" si="42"/>
        <v>2.28125</v>
      </c>
      <c r="CC15">
        <f t="shared" si="42"/>
        <v>3.421875</v>
      </c>
      <c r="CD15">
        <f t="shared" si="42"/>
        <v>4.5625</v>
      </c>
      <c r="CE15">
        <f t="shared" si="42"/>
        <v>5.703125</v>
      </c>
    </row>
    <row r="16" spans="1:83" x14ac:dyDescent="0.2">
      <c r="A16" s="490" t="s">
        <v>684</v>
      </c>
      <c r="B16" s="5">
        <f>Vdd</f>
        <v>7.5</v>
      </c>
      <c r="C16" s="482" t="s">
        <v>0</v>
      </c>
      <c r="D16" s="482" t="s">
        <v>683</v>
      </c>
      <c r="G16">
        <v>7</v>
      </c>
      <c r="H16" s="610">
        <f t="shared" si="0"/>
        <v>12</v>
      </c>
      <c r="I16" s="4" t="str">
        <f t="shared" si="1"/>
        <v>BUCK-BST</v>
      </c>
      <c r="J16">
        <f t="shared" si="43"/>
        <v>3</v>
      </c>
      <c r="K16" s="386">
        <f t="shared" si="44"/>
        <v>0.84</v>
      </c>
      <c r="L16" s="4">
        <f t="shared" si="2"/>
        <v>0.93333333333333324</v>
      </c>
      <c r="M16" s="4">
        <f t="shared" si="56"/>
        <v>0.87272727272727268</v>
      </c>
      <c r="N16" s="386">
        <f t="shared" si="3"/>
        <v>0.96250000000000002</v>
      </c>
      <c r="O16" s="386">
        <f t="shared" si="4"/>
        <v>3.7499999999999943E-2</v>
      </c>
      <c r="P16" s="4">
        <f t="shared" si="5"/>
        <v>0</v>
      </c>
      <c r="Q16" s="4">
        <f t="shared" si="6"/>
        <v>0.87272727272727268</v>
      </c>
      <c r="R16" s="386">
        <f t="shared" si="7"/>
        <v>2.5520581237797706E-3</v>
      </c>
      <c r="S16" s="386">
        <f t="shared" si="45"/>
        <v>0</v>
      </c>
      <c r="T16" s="386">
        <f t="shared" si="46"/>
        <v>2.5520581237797706E-3</v>
      </c>
      <c r="U16" s="4">
        <f t="shared" si="8"/>
        <v>0.16580382712986166</v>
      </c>
      <c r="V16" s="386">
        <f t="shared" si="9"/>
        <v>5.4981818181818108E-5</v>
      </c>
      <c r="W16" s="386">
        <f t="shared" si="47"/>
        <v>5.4981818181818108E-5</v>
      </c>
      <c r="X16" s="4">
        <f t="shared" si="10"/>
        <v>0</v>
      </c>
      <c r="Y16" s="386">
        <f t="shared" si="11"/>
        <v>0</v>
      </c>
      <c r="Z16" s="603">
        <f t="shared" si="48"/>
        <v>0</v>
      </c>
      <c r="AA16" s="386">
        <f t="shared" si="12"/>
        <v>0.85620728161521098</v>
      </c>
      <c r="AB16" s="386">
        <f t="shared" si="13"/>
        <v>4.1786181818181832E-3</v>
      </c>
      <c r="AC16" s="386">
        <f t="shared" si="14"/>
        <v>4.3121590909090905E-3</v>
      </c>
      <c r="AD16" s="386">
        <f t="shared" si="15"/>
        <v>0</v>
      </c>
      <c r="AE16" s="386">
        <f t="shared" si="16"/>
        <v>8.4978791511928862E-3</v>
      </c>
      <c r="AF16" s="386">
        <f t="shared" si="17"/>
        <v>0.16900290965268724</v>
      </c>
      <c r="AG16" s="386">
        <f t="shared" si="18"/>
        <v>1.6280330578512389E-4</v>
      </c>
      <c r="AH16" s="386">
        <f t="shared" si="19"/>
        <v>8.3999999999999995E-3</v>
      </c>
      <c r="AI16" s="386">
        <f t="shared" si="20"/>
        <v>8.5630821254006687E-3</v>
      </c>
      <c r="AJ16" s="386">
        <f t="shared" si="21"/>
        <v>0.16900290965268713</v>
      </c>
      <c r="AK16" s="386">
        <f t="shared" si="22"/>
        <v>5.426776859504123E-5</v>
      </c>
      <c r="AL16" s="386">
        <f t="shared" si="23"/>
        <v>5.7488094717986812E-2</v>
      </c>
      <c r="AM16" s="386">
        <f t="shared" si="24"/>
        <v>0</v>
      </c>
      <c r="AN16" s="386">
        <f t="shared" si="25"/>
        <v>5.7542987032482756E-2</v>
      </c>
      <c r="AO16" s="386">
        <f t="shared" si="49"/>
        <v>0.85620728161521098</v>
      </c>
      <c r="AP16" s="386">
        <f t="shared" si="26"/>
        <v>1.3928727272727276E-3</v>
      </c>
      <c r="AQ16" s="386">
        <f t="shared" si="27"/>
        <v>9.3333333333333324E-3</v>
      </c>
      <c r="AR16" s="386">
        <f t="shared" si="28"/>
        <v>1.0729194941209901E-2</v>
      </c>
      <c r="AS16" s="386">
        <f t="shared" si="29"/>
        <v>0</v>
      </c>
      <c r="AT16" s="386">
        <f t="shared" si="30"/>
        <v>0</v>
      </c>
      <c r="AU16" s="386">
        <f t="shared" si="31"/>
        <v>5.6112360614999988E-2</v>
      </c>
      <c r="AV16" s="386">
        <f t="shared" si="32"/>
        <v>2.284958677685948E-4</v>
      </c>
      <c r="AW16" s="386">
        <f t="shared" si="33"/>
        <v>0.59328000000000003</v>
      </c>
      <c r="AX16" s="386">
        <f t="shared" si="34"/>
        <v>3.6000000000000004E-2</v>
      </c>
      <c r="AY16" s="386">
        <f t="shared" si="35"/>
        <v>9.8999999999999977E-2</v>
      </c>
      <c r="AZ16" s="386">
        <f t="shared" si="36"/>
        <v>4.3499999999999997E-2</v>
      </c>
      <c r="BA16" s="386">
        <f t="shared" si="57"/>
        <v>0.13499999999999998</v>
      </c>
      <c r="BB16" s="386">
        <f t="shared" si="58"/>
        <v>0.8725610396750163</v>
      </c>
      <c r="BC16">
        <f t="shared" si="37"/>
        <v>10.08</v>
      </c>
      <c r="BD16" s="604">
        <f t="shared" si="51"/>
        <v>0.92033269328386169</v>
      </c>
      <c r="BE16" s="614">
        <f t="shared" si="38"/>
        <v>4.7288572519191368</v>
      </c>
      <c r="BF16" s="614">
        <f t="shared" si="39"/>
        <v>1.4623136972079949</v>
      </c>
      <c r="BG16" s="9"/>
      <c r="BH16" s="4">
        <f t="shared" si="52"/>
        <v>92.033269328386169</v>
      </c>
      <c r="BI16" s="386">
        <f t="shared" si="53"/>
        <v>2.5520581237797706E-3</v>
      </c>
      <c r="BJ16" s="386">
        <f t="shared" si="54"/>
        <v>0.1414455038652862</v>
      </c>
      <c r="BK16" s="386">
        <f t="shared" si="40"/>
        <v>9.4577145038382743E-2</v>
      </c>
      <c r="BL16" s="386">
        <f t="shared" si="41"/>
        <v>2.9246273944159899E-2</v>
      </c>
      <c r="BM16" s="386">
        <f t="shared" si="55"/>
        <v>2.284958677685948E-4</v>
      </c>
      <c r="BQ16" t="s">
        <v>141</v>
      </c>
      <c r="BR16" s="18">
        <v>25</v>
      </c>
      <c r="BS16" s="18">
        <v>25</v>
      </c>
      <c r="BT16" s="18">
        <v>25</v>
      </c>
      <c r="BU16" s="19">
        <f>1000000*(12-Vdd)*BT16/1000000000+((1000000*BT9/1000000000*Vdd)*2.5/(2*4))</f>
        <v>0.27656249999999999</v>
      </c>
      <c r="BV16">
        <f t="shared" si="42"/>
        <v>22.125</v>
      </c>
      <c r="BW16">
        <f t="shared" si="42"/>
        <v>27.65625</v>
      </c>
      <c r="BX16">
        <f t="shared" si="42"/>
        <v>33.1875</v>
      </c>
      <c r="BY16">
        <f t="shared" si="42"/>
        <v>38.71875</v>
      </c>
      <c r="BZ16">
        <f t="shared" si="42"/>
        <v>44.25</v>
      </c>
      <c r="CA16">
        <f t="shared" si="42"/>
        <v>49.78125</v>
      </c>
      <c r="CB16">
        <f t="shared" si="42"/>
        <v>5.53125</v>
      </c>
      <c r="CC16">
        <f t="shared" si="42"/>
        <v>8.296875</v>
      </c>
      <c r="CD16">
        <f t="shared" si="42"/>
        <v>11.0625</v>
      </c>
      <c r="CE16">
        <f t="shared" si="42"/>
        <v>13.828125</v>
      </c>
    </row>
    <row r="17" spans="1:83" x14ac:dyDescent="0.2">
      <c r="A17" s="24" t="s">
        <v>62</v>
      </c>
      <c r="B17" s="16" t="s">
        <v>115</v>
      </c>
      <c r="C17" s="24" t="s">
        <v>80</v>
      </c>
      <c r="D17" s="17" t="s">
        <v>111</v>
      </c>
      <c r="G17">
        <v>8</v>
      </c>
      <c r="H17" s="610">
        <f t="shared" si="0"/>
        <v>12</v>
      </c>
      <c r="I17" s="4" t="str">
        <f t="shared" si="1"/>
        <v>BUCK-BST</v>
      </c>
      <c r="J17">
        <f t="shared" si="43"/>
        <v>3</v>
      </c>
      <c r="K17" s="386">
        <f t="shared" si="44"/>
        <v>0.96</v>
      </c>
      <c r="L17" s="4">
        <f t="shared" si="2"/>
        <v>1.0666666666666667</v>
      </c>
      <c r="M17" s="4">
        <f t="shared" si="56"/>
        <v>0.99740259740259729</v>
      </c>
      <c r="N17" s="386">
        <f t="shared" si="3"/>
        <v>0.96250000000000002</v>
      </c>
      <c r="O17" s="386">
        <f t="shared" si="4"/>
        <v>3.7499999999999943E-2</v>
      </c>
      <c r="P17" s="4">
        <f t="shared" si="5"/>
        <v>0</v>
      </c>
      <c r="Q17" s="4">
        <f t="shared" si="6"/>
        <v>0.99740259740259729</v>
      </c>
      <c r="R17" s="386">
        <f t="shared" si="7"/>
        <v>3.3335087488082652E-3</v>
      </c>
      <c r="S17" s="386">
        <f t="shared" si="45"/>
        <v>0</v>
      </c>
      <c r="T17" s="386">
        <f t="shared" si="46"/>
        <v>3.3335087488082652E-3</v>
      </c>
      <c r="U17" s="4">
        <f t="shared" si="8"/>
        <v>0.18949008814841331</v>
      </c>
      <c r="V17" s="386">
        <f t="shared" si="9"/>
        <v>7.1812987012986895E-5</v>
      </c>
      <c r="W17" s="386">
        <f t="shared" si="47"/>
        <v>7.1812987012986895E-5</v>
      </c>
      <c r="X17" s="4">
        <f t="shared" si="10"/>
        <v>0</v>
      </c>
      <c r="Y17" s="386">
        <f t="shared" si="11"/>
        <v>0</v>
      </c>
      <c r="Z17" s="603">
        <f t="shared" si="48"/>
        <v>0</v>
      </c>
      <c r="AA17" s="386">
        <f t="shared" si="12"/>
        <v>0.97852260756024101</v>
      </c>
      <c r="AB17" s="386">
        <f t="shared" si="13"/>
        <v>5.4577870129870129E-3</v>
      </c>
      <c r="AC17" s="386">
        <f t="shared" si="14"/>
        <v>4.9281818181818177E-3</v>
      </c>
      <c r="AD17" s="386">
        <f t="shared" si="15"/>
        <v>0</v>
      </c>
      <c r="AE17" s="386">
        <f t="shared" si="16"/>
        <v>1.0397318100708819E-2</v>
      </c>
      <c r="AF17" s="386">
        <f t="shared" si="17"/>
        <v>0.19314618246021398</v>
      </c>
      <c r="AG17" s="386">
        <f t="shared" si="18"/>
        <v>2.1264105245403933E-4</v>
      </c>
      <c r="AH17" s="386">
        <f t="shared" si="19"/>
        <v>9.5999999999999992E-3</v>
      </c>
      <c r="AI17" s="386">
        <f t="shared" si="20"/>
        <v>9.8130583842665625E-3</v>
      </c>
      <c r="AJ17" s="386">
        <f t="shared" si="21"/>
        <v>0.19314618246021387</v>
      </c>
      <c r="AK17" s="386">
        <f t="shared" si="22"/>
        <v>7.0880350818013039E-5</v>
      </c>
      <c r="AL17" s="386">
        <f t="shared" si="23"/>
        <v>5.7488094717986812E-2</v>
      </c>
      <c r="AM17" s="386">
        <f t="shared" si="24"/>
        <v>0</v>
      </c>
      <c r="AN17" s="386">
        <f t="shared" si="25"/>
        <v>5.7559791040441219E-2</v>
      </c>
      <c r="AO17" s="386">
        <f t="shared" si="49"/>
        <v>0.97852260756024101</v>
      </c>
      <c r="AP17" s="386">
        <f t="shared" si="26"/>
        <v>1.8192623376623374E-3</v>
      </c>
      <c r="AQ17" s="386">
        <f t="shared" si="27"/>
        <v>1.0666666666666666E-2</v>
      </c>
      <c r="AR17" s="386">
        <f t="shared" si="28"/>
        <v>1.2490473694003216E-2</v>
      </c>
      <c r="AS17" s="386">
        <f t="shared" si="29"/>
        <v>0</v>
      </c>
      <c r="AT17" s="386">
        <f t="shared" si="30"/>
        <v>0</v>
      </c>
      <c r="AU17" s="386">
        <f t="shared" si="31"/>
        <v>5.7056552639999987E-2</v>
      </c>
      <c r="AV17" s="386">
        <f t="shared" si="32"/>
        <v>2.9844358239163401E-4</v>
      </c>
      <c r="AW17" s="386">
        <f t="shared" si="33"/>
        <v>0.59328000000000003</v>
      </c>
      <c r="AX17" s="386">
        <f t="shared" si="34"/>
        <v>3.6000000000000004E-2</v>
      </c>
      <c r="AY17" s="386">
        <f t="shared" si="35"/>
        <v>9.8999999999999977E-2</v>
      </c>
      <c r="AZ17" s="386">
        <f t="shared" si="36"/>
        <v>4.3499999999999997E-2</v>
      </c>
      <c r="BA17" s="386">
        <f t="shared" si="57"/>
        <v>0.13499999999999998</v>
      </c>
      <c r="BB17" s="386">
        <f t="shared" si="58"/>
        <v>0.87930095917763262</v>
      </c>
      <c r="BC17">
        <f t="shared" si="37"/>
        <v>11.52</v>
      </c>
      <c r="BD17" s="604">
        <f t="shared" si="51"/>
        <v>0.92908463452314249</v>
      </c>
      <c r="BE17" s="614">
        <f t="shared" si="38"/>
        <v>4.7608557891420604</v>
      </c>
      <c r="BF17" s="614">
        <f t="shared" si="39"/>
        <v>1.5659568032601607</v>
      </c>
      <c r="BG17" s="9"/>
      <c r="BH17" s="4">
        <f t="shared" si="52"/>
        <v>92.908463452314251</v>
      </c>
      <c r="BI17" s="386">
        <f t="shared" si="53"/>
        <v>3.3335087488082652E-3</v>
      </c>
      <c r="BJ17" s="386">
        <f t="shared" si="54"/>
        <v>0.1473171938594198</v>
      </c>
      <c r="BK17" s="386">
        <f t="shared" si="40"/>
        <v>9.5217115782841213E-2</v>
      </c>
      <c r="BL17" s="386">
        <f t="shared" si="41"/>
        <v>3.1319136065203215E-2</v>
      </c>
      <c r="BM17" s="386">
        <f t="shared" si="55"/>
        <v>2.9844358239163401E-4</v>
      </c>
      <c r="BQ17" t="s">
        <v>144</v>
      </c>
      <c r="BR17" s="18">
        <v>50</v>
      </c>
      <c r="BS17" s="18">
        <v>50</v>
      </c>
      <c r="BT17" s="18">
        <v>50</v>
      </c>
      <c r="BU17" s="19">
        <f>500000*(18-Vdd)*BT17/1000000000+((500000*BT15/1000000000*Vdd)*2.5/(2*4))</f>
        <v>0.28593750000000001</v>
      </c>
      <c r="BV17">
        <f t="shared" si="42"/>
        <v>22.875</v>
      </c>
      <c r="BW17">
        <f t="shared" si="42"/>
        <v>28.59375</v>
      </c>
      <c r="BX17">
        <f t="shared" si="42"/>
        <v>34.3125</v>
      </c>
      <c r="BY17">
        <f t="shared" si="42"/>
        <v>40.03125</v>
      </c>
      <c r="BZ17">
        <f t="shared" si="42"/>
        <v>45.75</v>
      </c>
      <c r="CA17">
        <f t="shared" si="42"/>
        <v>51.46875</v>
      </c>
      <c r="CB17">
        <f t="shared" si="42"/>
        <v>5.71875</v>
      </c>
      <c r="CC17">
        <f t="shared" si="42"/>
        <v>8.578125</v>
      </c>
      <c r="CD17">
        <f t="shared" si="42"/>
        <v>11.4375</v>
      </c>
      <c r="CE17">
        <f t="shared" si="42"/>
        <v>14.296875</v>
      </c>
    </row>
    <row r="18" spans="1:83" x14ac:dyDescent="0.2">
      <c r="A18" s="35" t="s">
        <v>60</v>
      </c>
      <c r="B18" s="38">
        <f>Lf*1000000</f>
        <v>4.7</v>
      </c>
      <c r="C18" s="483" t="s">
        <v>11</v>
      </c>
      <c r="D18" s="482" t="s">
        <v>676</v>
      </c>
      <c r="G18">
        <v>9</v>
      </c>
      <c r="H18" s="610">
        <f t="shared" si="0"/>
        <v>12</v>
      </c>
      <c r="I18" s="4" t="str">
        <f t="shared" si="1"/>
        <v>BUCK-BST</v>
      </c>
      <c r="J18">
        <f t="shared" si="43"/>
        <v>3</v>
      </c>
      <c r="K18" s="386">
        <f t="shared" si="44"/>
        <v>1.08</v>
      </c>
      <c r="L18" s="4">
        <f t="shared" si="2"/>
        <v>1.2</v>
      </c>
      <c r="M18" s="4">
        <f t="shared" si="56"/>
        <v>1.1220779220779222</v>
      </c>
      <c r="N18" s="386">
        <f t="shared" si="3"/>
        <v>0.96250000000000002</v>
      </c>
      <c r="O18" s="386">
        <f t="shared" si="4"/>
        <v>3.7499999999999943E-2</v>
      </c>
      <c r="P18" s="4">
        <f t="shared" si="5"/>
        <v>0</v>
      </c>
      <c r="Q18" s="4">
        <f t="shared" si="6"/>
        <v>1.1220779220779222</v>
      </c>
      <c r="R18" s="386">
        <f t="shared" si="7"/>
        <v>4.2192708909595707E-3</v>
      </c>
      <c r="S18" s="386">
        <f t="shared" si="45"/>
        <v>0</v>
      </c>
      <c r="T18" s="386">
        <f t="shared" si="46"/>
        <v>4.2192708909595707E-3</v>
      </c>
      <c r="U18" s="4">
        <f t="shared" si="8"/>
        <v>0.21317634916696501</v>
      </c>
      <c r="V18" s="386">
        <f t="shared" si="9"/>
        <v>9.0888311688311582E-5</v>
      </c>
      <c r="W18" s="386">
        <f t="shared" si="47"/>
        <v>9.0888311688311582E-5</v>
      </c>
      <c r="X18" s="4">
        <f t="shared" si="10"/>
        <v>0</v>
      </c>
      <c r="Y18" s="386">
        <f t="shared" si="11"/>
        <v>0</v>
      </c>
      <c r="Z18" s="603">
        <f t="shared" si="48"/>
        <v>0</v>
      </c>
      <c r="AA18" s="386">
        <f t="shared" si="12"/>
        <v>1.1008379335052714</v>
      </c>
      <c r="AB18" s="386">
        <f t="shared" si="13"/>
        <v>6.9075116883116905E-3</v>
      </c>
      <c r="AC18" s="386">
        <f t="shared" si="14"/>
        <v>5.5442045454545449E-3</v>
      </c>
      <c r="AD18" s="386">
        <f t="shared" si="15"/>
        <v>0</v>
      </c>
      <c r="AE18" s="386">
        <f t="shared" si="16"/>
        <v>1.246894210643445E-2</v>
      </c>
      <c r="AF18" s="386">
        <f t="shared" si="17"/>
        <v>0.21728945526774077</v>
      </c>
      <c r="AG18" s="386">
        <f t="shared" si="18"/>
        <v>2.6912383201214366E-4</v>
      </c>
      <c r="AH18" s="386">
        <f t="shared" si="19"/>
        <v>1.0800000000000001E-2</v>
      </c>
      <c r="AI18" s="386">
        <f t="shared" si="20"/>
        <v>1.1069719657086826E-2</v>
      </c>
      <c r="AJ18" s="386">
        <f t="shared" si="21"/>
        <v>0.21728945526774066</v>
      </c>
      <c r="AK18" s="386">
        <f t="shared" si="22"/>
        <v>8.9707944004047783E-5</v>
      </c>
      <c r="AL18" s="386">
        <f t="shared" si="23"/>
        <v>5.7488094717986812E-2</v>
      </c>
      <c r="AM18" s="386">
        <f t="shared" si="24"/>
        <v>0</v>
      </c>
      <c r="AN18" s="386">
        <f t="shared" si="25"/>
        <v>5.7578835717784944E-2</v>
      </c>
      <c r="AO18" s="386">
        <f t="shared" si="49"/>
        <v>1.1008379335052714</v>
      </c>
      <c r="AP18" s="386">
        <f t="shared" si="26"/>
        <v>2.3025038961038968E-3</v>
      </c>
      <c r="AQ18" s="386">
        <f t="shared" si="27"/>
        <v>1.2E-2</v>
      </c>
      <c r="AR18" s="386">
        <f t="shared" si="28"/>
        <v>1.4309093244693021E-2</v>
      </c>
      <c r="AS18" s="386">
        <f t="shared" si="29"/>
        <v>0</v>
      </c>
      <c r="AT18" s="386">
        <f t="shared" si="30"/>
        <v>0</v>
      </c>
      <c r="AU18" s="386">
        <f t="shared" si="31"/>
        <v>5.8000636934999988E-2</v>
      </c>
      <c r="AV18" s="386">
        <f t="shared" si="32"/>
        <v>3.7771765896441192E-4</v>
      </c>
      <c r="AW18" s="386">
        <f t="shared" si="33"/>
        <v>0.59328000000000003</v>
      </c>
      <c r="AX18" s="386">
        <f t="shared" si="34"/>
        <v>3.6000000000000004E-2</v>
      </c>
      <c r="AY18" s="386">
        <f t="shared" si="35"/>
        <v>9.8999999999999977E-2</v>
      </c>
      <c r="AZ18" s="386">
        <f t="shared" si="36"/>
        <v>4.3499999999999997E-2</v>
      </c>
      <c r="BA18" s="386">
        <f t="shared" si="57"/>
        <v>0.13499999999999998</v>
      </c>
      <c r="BB18" s="386">
        <f t="shared" si="58"/>
        <v>0.88639510452261161</v>
      </c>
      <c r="BC18">
        <f t="shared" si="37"/>
        <v>12.96</v>
      </c>
      <c r="BD18" s="604">
        <f t="shared" si="51"/>
        <v>0.93598369121843916</v>
      </c>
      <c r="BE18" s="614">
        <f t="shared" si="38"/>
        <v>4.7929628047442465</v>
      </c>
      <c r="BF18" s="614">
        <f t="shared" si="39"/>
        <v>1.6724651716621508</v>
      </c>
      <c r="BG18" s="9"/>
      <c r="BH18" s="4">
        <f t="shared" si="52"/>
        <v>93.598369121843916</v>
      </c>
      <c r="BI18" s="386">
        <f t="shared" si="53"/>
        <v>4.2192708909595707E-3</v>
      </c>
      <c r="BJ18" s="386">
        <f t="shared" si="54"/>
        <v>0.15342722766099925</v>
      </c>
      <c r="BK18" s="386">
        <f t="shared" si="40"/>
        <v>9.5859256094884937E-2</v>
      </c>
      <c r="BL18" s="386">
        <f t="shared" si="41"/>
        <v>3.3449303433243018E-2</v>
      </c>
      <c r="BM18" s="386">
        <f t="shared" si="55"/>
        <v>3.7771765896441192E-4</v>
      </c>
      <c r="BQ18" t="s">
        <v>145</v>
      </c>
      <c r="BS18" s="18"/>
      <c r="BT18" s="19"/>
    </row>
    <row r="19" spans="1:83" x14ac:dyDescent="0.2">
      <c r="A19" s="35" t="s">
        <v>12</v>
      </c>
      <c r="B19" s="39">
        <f>Rdcr*1000</f>
        <v>3.35</v>
      </c>
      <c r="C19" s="484" t="s">
        <v>674</v>
      </c>
      <c r="D19" s="482" t="s">
        <v>677</v>
      </c>
      <c r="G19">
        <v>10</v>
      </c>
      <c r="H19" s="610">
        <f t="shared" si="0"/>
        <v>12</v>
      </c>
      <c r="I19" s="4" t="str">
        <f t="shared" si="1"/>
        <v>BUCK-BST</v>
      </c>
      <c r="J19">
        <f t="shared" si="43"/>
        <v>3</v>
      </c>
      <c r="K19" s="386">
        <f t="shared" si="44"/>
        <v>1.2</v>
      </c>
      <c r="L19" s="4">
        <f t="shared" si="2"/>
        <v>1.333333333333333</v>
      </c>
      <c r="M19" s="4">
        <f t="shared" si="56"/>
        <v>1.2467532467532467</v>
      </c>
      <c r="N19" s="386">
        <f t="shared" si="3"/>
        <v>0.96250000000000002</v>
      </c>
      <c r="O19" s="386">
        <f t="shared" si="4"/>
        <v>3.7499999999999943E-2</v>
      </c>
      <c r="P19" s="4">
        <f t="shared" si="5"/>
        <v>0</v>
      </c>
      <c r="Q19" s="4">
        <f t="shared" si="6"/>
        <v>1.2467532467532467</v>
      </c>
      <c r="R19" s="386">
        <f t="shared" si="7"/>
        <v>5.2093888694646692E-3</v>
      </c>
      <c r="S19" s="386">
        <f t="shared" si="45"/>
        <v>0</v>
      </c>
      <c r="T19" s="386">
        <f t="shared" si="46"/>
        <v>5.2093888694646692E-3</v>
      </c>
      <c r="U19" s="4">
        <f t="shared" si="8"/>
        <v>0.23686261018551663</v>
      </c>
      <c r="V19" s="386">
        <f t="shared" si="9"/>
        <v>1.1220779220779202E-4</v>
      </c>
      <c r="W19" s="386">
        <f t="shared" si="47"/>
        <v>1.1220779220779202E-4</v>
      </c>
      <c r="X19" s="4">
        <f t="shared" si="10"/>
        <v>0</v>
      </c>
      <c r="Y19" s="386">
        <f t="shared" si="11"/>
        <v>0</v>
      </c>
      <c r="Z19" s="603">
        <f t="shared" si="48"/>
        <v>0</v>
      </c>
      <c r="AA19" s="386">
        <f t="shared" si="12"/>
        <v>1.2231532594503014</v>
      </c>
      <c r="AB19" s="386">
        <f t="shared" si="13"/>
        <v>8.5277922077922098E-3</v>
      </c>
      <c r="AC19" s="386">
        <f t="shared" si="14"/>
        <v>6.1602272727272712E-3</v>
      </c>
      <c r="AD19" s="386">
        <f t="shared" si="15"/>
        <v>0</v>
      </c>
      <c r="AE19" s="386">
        <f t="shared" si="16"/>
        <v>1.471311355554575E-2</v>
      </c>
      <c r="AF19" s="386">
        <f t="shared" si="17"/>
        <v>0.24143272807526747</v>
      </c>
      <c r="AG19" s="386">
        <f t="shared" si="18"/>
        <v>3.3225164445943649E-4</v>
      </c>
      <c r="AH19" s="386">
        <f t="shared" si="19"/>
        <v>1.2E-2</v>
      </c>
      <c r="AI19" s="386">
        <f t="shared" si="20"/>
        <v>1.2333071181095667E-2</v>
      </c>
      <c r="AJ19" s="386">
        <f t="shared" si="21"/>
        <v>0.24143272807526733</v>
      </c>
      <c r="AK19" s="386">
        <f t="shared" si="22"/>
        <v>1.1075054815314536E-4</v>
      </c>
      <c r="AL19" s="386">
        <f t="shared" si="23"/>
        <v>5.7488094717986812E-2</v>
      </c>
      <c r="AM19" s="386">
        <f t="shared" si="24"/>
        <v>0</v>
      </c>
      <c r="AN19" s="386">
        <f t="shared" si="25"/>
        <v>5.7600121115137397E-2</v>
      </c>
      <c r="AO19" s="386">
        <f t="shared" si="49"/>
        <v>1.2231532594503014</v>
      </c>
      <c r="AP19" s="386">
        <f t="shared" si="26"/>
        <v>2.842597402597403E-3</v>
      </c>
      <c r="AQ19" s="386">
        <f t="shared" si="27"/>
        <v>1.3333333333333331E-2</v>
      </c>
      <c r="AR19" s="386">
        <f t="shared" si="28"/>
        <v>1.6185132298937466E-2</v>
      </c>
      <c r="AS19" s="386">
        <f t="shared" si="29"/>
        <v>0</v>
      </c>
      <c r="AT19" s="386">
        <f t="shared" si="30"/>
        <v>0</v>
      </c>
      <c r="AU19" s="386">
        <f t="shared" si="31"/>
        <v>5.8944613499999986E-2</v>
      </c>
      <c r="AV19" s="386">
        <f t="shared" si="32"/>
        <v>4.6631809748692811E-4</v>
      </c>
      <c r="AW19" s="386">
        <f t="shared" si="33"/>
        <v>0.59328000000000003</v>
      </c>
      <c r="AX19" s="386">
        <f t="shared" si="34"/>
        <v>3.6000000000000004E-2</v>
      </c>
      <c r="AY19" s="386">
        <f t="shared" si="35"/>
        <v>9.8999999999999977E-2</v>
      </c>
      <c r="AZ19" s="386">
        <f t="shared" si="36"/>
        <v>4.3499999999999997E-2</v>
      </c>
      <c r="BA19" s="386">
        <f t="shared" si="57"/>
        <v>0.13499999999999998</v>
      </c>
      <c r="BB19" s="386">
        <f t="shared" si="58"/>
        <v>0.89384396640987562</v>
      </c>
      <c r="BC19">
        <f t="shared" si="37"/>
        <v>14.399999999999999</v>
      </c>
      <c r="BD19" s="604">
        <f t="shared" si="51"/>
        <v>0.94155531020369765</v>
      </c>
      <c r="BE19" s="614">
        <f t="shared" si="38"/>
        <v>4.8251783012568694</v>
      </c>
      <c r="BF19" s="614">
        <f t="shared" si="39"/>
        <v>1.7818427376968731</v>
      </c>
      <c r="BG19" s="9"/>
      <c r="BH19" s="4">
        <f t="shared" si="52"/>
        <v>94.155531020369764</v>
      </c>
      <c r="BI19" s="386">
        <f t="shared" si="53"/>
        <v>5.2093888694646692E-3</v>
      </c>
      <c r="BJ19" s="386">
        <f t="shared" si="54"/>
        <v>0.15977605165071626</v>
      </c>
      <c r="BK19" s="386">
        <f t="shared" si="40"/>
        <v>9.6503566025137391E-2</v>
      </c>
      <c r="BL19" s="386">
        <f t="shared" si="41"/>
        <v>3.5636854753937464E-2</v>
      </c>
      <c r="BM19" s="386">
        <f t="shared" si="55"/>
        <v>4.6631809748692811E-4</v>
      </c>
      <c r="BQ19" t="s">
        <v>146</v>
      </c>
      <c r="BS19" s="18"/>
      <c r="BT19" s="19"/>
    </row>
    <row r="20" spans="1:83" x14ac:dyDescent="0.2">
      <c r="A20" s="35" t="s">
        <v>86</v>
      </c>
      <c r="B20" s="39">
        <f>Ltc*1000000</f>
        <v>4000</v>
      </c>
      <c r="C20" s="483" t="s">
        <v>85</v>
      </c>
      <c r="D20" s="21" t="s">
        <v>101</v>
      </c>
      <c r="G20">
        <v>11</v>
      </c>
      <c r="H20" s="610">
        <f t="shared" si="0"/>
        <v>12</v>
      </c>
      <c r="I20" s="4" t="str">
        <f t="shared" si="1"/>
        <v>BUCK-BST</v>
      </c>
      <c r="J20">
        <f t="shared" si="43"/>
        <v>3</v>
      </c>
      <c r="K20" s="386">
        <f t="shared" si="44"/>
        <v>1.32</v>
      </c>
      <c r="L20" s="4">
        <f t="shared" si="2"/>
        <v>1.4666666666666666</v>
      </c>
      <c r="M20" s="4">
        <f t="shared" si="56"/>
        <v>1.3714285714285714</v>
      </c>
      <c r="N20" s="386">
        <f t="shared" si="3"/>
        <v>0.96250000000000002</v>
      </c>
      <c r="O20" s="386">
        <f t="shared" si="4"/>
        <v>3.7499999999999943E-2</v>
      </c>
      <c r="P20" s="4">
        <f t="shared" si="5"/>
        <v>0</v>
      </c>
      <c r="Q20" s="4">
        <f t="shared" si="6"/>
        <v>1.3714285714285714</v>
      </c>
      <c r="R20" s="386">
        <f t="shared" si="7"/>
        <v>6.3039122361602338E-3</v>
      </c>
      <c r="S20" s="386">
        <f t="shared" si="45"/>
        <v>0</v>
      </c>
      <c r="T20" s="386">
        <f t="shared" si="46"/>
        <v>6.3039122361602338E-3</v>
      </c>
      <c r="U20" s="4">
        <f t="shared" si="8"/>
        <v>0.26054887120406833</v>
      </c>
      <c r="V20" s="386">
        <f t="shared" si="9"/>
        <v>1.3577142857142837E-4</v>
      </c>
      <c r="W20" s="386">
        <f t="shared" si="47"/>
        <v>1.3577142857142837E-4</v>
      </c>
      <c r="X20" s="4">
        <f t="shared" si="10"/>
        <v>0</v>
      </c>
      <c r="Y20" s="386">
        <f t="shared" si="11"/>
        <v>0</v>
      </c>
      <c r="Z20" s="603">
        <f t="shared" si="48"/>
        <v>0</v>
      </c>
      <c r="AA20" s="386">
        <f t="shared" si="12"/>
        <v>1.3454685853953314</v>
      </c>
      <c r="AB20" s="386">
        <f t="shared" si="13"/>
        <v>1.0318628571428571E-2</v>
      </c>
      <c r="AC20" s="386">
        <f t="shared" si="14"/>
        <v>6.7762499999999993E-3</v>
      </c>
      <c r="AD20" s="386">
        <f t="shared" si="15"/>
        <v>0</v>
      </c>
      <c r="AE20" s="386">
        <f t="shared" si="16"/>
        <v>1.7130230668951734E-2</v>
      </c>
      <c r="AF20" s="386">
        <f t="shared" si="17"/>
        <v>0.26557600088279426</v>
      </c>
      <c r="AG20" s="386">
        <f t="shared" si="18"/>
        <v>4.020244897959183E-4</v>
      </c>
      <c r="AH20" s="386">
        <f t="shared" si="19"/>
        <v>1.3200000000000002E-2</v>
      </c>
      <c r="AI20" s="386">
        <f t="shared" si="20"/>
        <v>1.3603118247130506E-2</v>
      </c>
      <c r="AJ20" s="386">
        <f t="shared" si="21"/>
        <v>0.26557600088279409</v>
      </c>
      <c r="AK20" s="386">
        <f t="shared" si="22"/>
        <v>1.3400816326530589E-4</v>
      </c>
      <c r="AL20" s="386">
        <f t="shared" si="23"/>
        <v>5.7488094717986812E-2</v>
      </c>
      <c r="AM20" s="386">
        <f t="shared" si="24"/>
        <v>0</v>
      </c>
      <c r="AN20" s="386">
        <f t="shared" si="25"/>
        <v>5.7623647289078893E-2</v>
      </c>
      <c r="AO20" s="386">
        <f t="shared" si="49"/>
        <v>1.3454685853953314</v>
      </c>
      <c r="AP20" s="386">
        <f t="shared" si="26"/>
        <v>3.439542857142857E-3</v>
      </c>
      <c r="AQ20" s="386">
        <f t="shared" si="27"/>
        <v>1.4666666666666666E-2</v>
      </c>
      <c r="AR20" s="386">
        <f t="shared" si="28"/>
        <v>1.8118673514623145E-2</v>
      </c>
      <c r="AS20" s="386">
        <f t="shared" si="29"/>
        <v>0</v>
      </c>
      <c r="AT20" s="386">
        <f t="shared" si="30"/>
        <v>0</v>
      </c>
      <c r="AU20" s="386">
        <f t="shared" si="31"/>
        <v>5.9888482334999986E-2</v>
      </c>
      <c r="AV20" s="386">
        <f t="shared" si="32"/>
        <v>5.6424489795918323E-4</v>
      </c>
      <c r="AW20" s="386">
        <f t="shared" si="33"/>
        <v>0.59328000000000003</v>
      </c>
      <c r="AX20" s="386">
        <f t="shared" si="34"/>
        <v>3.6000000000000004E-2</v>
      </c>
      <c r="AY20" s="386">
        <f t="shared" si="35"/>
        <v>9.8999999999999977E-2</v>
      </c>
      <c r="AZ20" s="386">
        <f t="shared" si="36"/>
        <v>4.3499999999999997E-2</v>
      </c>
      <c r="BA20" s="386">
        <f t="shared" si="57"/>
        <v>0.13499999999999998</v>
      </c>
      <c r="BB20" s="386">
        <f t="shared" si="58"/>
        <v>0.90164808061747515</v>
      </c>
      <c r="BC20">
        <f t="shared" si="37"/>
        <v>15.84</v>
      </c>
      <c r="BD20" s="604">
        <f t="shared" si="51"/>
        <v>0.94614340976015676</v>
      </c>
      <c r="BE20" s="614">
        <f t="shared" si="38"/>
        <v>4.8575022815089444</v>
      </c>
      <c r="BF20" s="614">
        <f t="shared" si="39"/>
        <v>1.894093634258657</v>
      </c>
      <c r="BG20" s="9"/>
      <c r="BH20" s="4">
        <f t="shared" si="52"/>
        <v>94.614340976015683</v>
      </c>
      <c r="BI20" s="386">
        <f t="shared" si="53"/>
        <v>6.3039122361602338E-3</v>
      </c>
      <c r="BJ20" s="386">
        <f t="shared" si="54"/>
        <v>0.16636415205478428</v>
      </c>
      <c r="BK20" s="386">
        <f t="shared" si="40"/>
        <v>9.7150045630178886E-2</v>
      </c>
      <c r="BL20" s="386">
        <f t="shared" si="41"/>
        <v>3.7881872685173137E-2</v>
      </c>
      <c r="BM20" s="386">
        <f t="shared" si="55"/>
        <v>5.6424489795918323E-4</v>
      </c>
      <c r="BS20" s="18"/>
      <c r="BT20" s="19"/>
    </row>
    <row r="21" spans="1:83" x14ac:dyDescent="0.2">
      <c r="A21" s="25" t="s">
        <v>159</v>
      </c>
      <c r="B21" s="39">
        <f>ThetaCa</f>
        <v>20</v>
      </c>
      <c r="C21" s="483" t="s">
        <v>241</v>
      </c>
      <c r="D21" s="26" t="s">
        <v>160</v>
      </c>
      <c r="G21">
        <v>12</v>
      </c>
      <c r="H21" s="610">
        <f t="shared" si="0"/>
        <v>12</v>
      </c>
      <c r="I21" s="4" t="str">
        <f t="shared" si="1"/>
        <v>BUCK-BST</v>
      </c>
      <c r="J21">
        <f t="shared" si="43"/>
        <v>3</v>
      </c>
      <c r="K21" s="386">
        <f t="shared" si="44"/>
        <v>1.44</v>
      </c>
      <c r="L21" s="4">
        <f t="shared" si="2"/>
        <v>1.6</v>
      </c>
      <c r="M21" s="4">
        <f t="shared" si="56"/>
        <v>1.4961038961038959</v>
      </c>
      <c r="N21" s="386">
        <f t="shared" si="3"/>
        <v>0.96250000000000002</v>
      </c>
      <c r="O21" s="386">
        <f t="shared" si="4"/>
        <v>3.7499999999999943E-2</v>
      </c>
      <c r="P21" s="4">
        <f t="shared" si="5"/>
        <v>0</v>
      </c>
      <c r="Q21" s="4">
        <f t="shared" si="6"/>
        <v>1.4961038961038959</v>
      </c>
      <c r="R21" s="386">
        <f t="shared" si="7"/>
        <v>7.5028957816915629E-3</v>
      </c>
      <c r="S21" s="386">
        <f t="shared" si="45"/>
        <v>0</v>
      </c>
      <c r="T21" s="386">
        <f t="shared" si="46"/>
        <v>7.5028957816915629E-3</v>
      </c>
      <c r="U21" s="4">
        <f t="shared" si="8"/>
        <v>0.28423513222261998</v>
      </c>
      <c r="V21" s="386">
        <f t="shared" si="9"/>
        <v>1.6157922077922053E-4</v>
      </c>
      <c r="W21" s="386">
        <f t="shared" si="47"/>
        <v>1.6157922077922053E-4</v>
      </c>
      <c r="X21" s="4">
        <f t="shared" si="10"/>
        <v>0</v>
      </c>
      <c r="Y21" s="386">
        <f t="shared" si="11"/>
        <v>0</v>
      </c>
      <c r="Z21" s="603">
        <f t="shared" si="48"/>
        <v>0</v>
      </c>
      <c r="AA21" s="386">
        <f t="shared" si="12"/>
        <v>1.4677839113403615</v>
      </c>
      <c r="AB21" s="386">
        <f t="shared" si="13"/>
        <v>1.2280020779220777E-2</v>
      </c>
      <c r="AC21" s="386">
        <f t="shared" si="14"/>
        <v>7.3922727272727265E-3</v>
      </c>
      <c r="AD21" s="386">
        <f t="shared" si="15"/>
        <v>0</v>
      </c>
      <c r="AE21" s="386">
        <f t="shared" si="16"/>
        <v>1.9720727695670341E-2</v>
      </c>
      <c r="AF21" s="386">
        <f t="shared" si="17"/>
        <v>0.28971927369032097</v>
      </c>
      <c r="AG21" s="386">
        <f t="shared" si="18"/>
        <v>4.7844236802158856E-4</v>
      </c>
      <c r="AH21" s="386">
        <f t="shared" si="19"/>
        <v>1.44E-2</v>
      </c>
      <c r="AI21" s="386">
        <f t="shared" si="20"/>
        <v>1.4879866199705674E-2</v>
      </c>
      <c r="AJ21" s="386">
        <f t="shared" si="21"/>
        <v>0.2897192736903208</v>
      </c>
      <c r="AK21" s="386">
        <f t="shared" si="22"/>
        <v>1.5948078934052931E-4</v>
      </c>
      <c r="AL21" s="386">
        <f t="shared" si="23"/>
        <v>5.7488094717986812E-2</v>
      </c>
      <c r="AM21" s="386">
        <f t="shared" si="24"/>
        <v>0</v>
      </c>
      <c r="AN21" s="386">
        <f t="shared" si="25"/>
        <v>5.7649414302146929E-2</v>
      </c>
      <c r="AO21" s="386">
        <f t="shared" si="49"/>
        <v>1.4677839113403615</v>
      </c>
      <c r="AP21" s="386">
        <f t="shared" si="26"/>
        <v>4.0933402597402588E-3</v>
      </c>
      <c r="AQ21" s="386">
        <f t="shared" si="27"/>
        <v>1.6E-2</v>
      </c>
      <c r="AR21" s="386">
        <f t="shared" si="28"/>
        <v>2.0109803513407638E-2</v>
      </c>
      <c r="AS21" s="386">
        <f t="shared" si="29"/>
        <v>0</v>
      </c>
      <c r="AT21" s="386">
        <f t="shared" si="30"/>
        <v>0</v>
      </c>
      <c r="AU21" s="386">
        <f t="shared" si="31"/>
        <v>6.0832243439999989E-2</v>
      </c>
      <c r="AV21" s="386">
        <f t="shared" si="32"/>
        <v>6.7149806038117649E-4</v>
      </c>
      <c r="AW21" s="386">
        <f t="shared" si="33"/>
        <v>0.59328000000000003</v>
      </c>
      <c r="AX21" s="386">
        <f t="shared" si="34"/>
        <v>3.6000000000000004E-2</v>
      </c>
      <c r="AY21" s="386">
        <f t="shared" si="35"/>
        <v>9.8999999999999977E-2</v>
      </c>
      <c r="AZ21" s="386">
        <f t="shared" si="36"/>
        <v>4.3499999999999997E-2</v>
      </c>
      <c r="BA21" s="386">
        <f t="shared" si="57"/>
        <v>0.13499999999999998</v>
      </c>
      <c r="BB21" s="386">
        <f t="shared" si="58"/>
        <v>0.90980802821378259</v>
      </c>
      <c r="BC21">
        <f t="shared" si="37"/>
        <v>17.28</v>
      </c>
      <c r="BD21" s="604">
        <f t="shared" si="51"/>
        <v>0.9499825381992707</v>
      </c>
      <c r="BE21" s="614">
        <f t="shared" si="38"/>
        <v>4.8899347486273461</v>
      </c>
      <c r="BF21" s="614">
        <f t="shared" si="39"/>
        <v>2.0092221924303817</v>
      </c>
      <c r="BG21" s="9"/>
      <c r="BH21" s="4">
        <f t="shared" si="52"/>
        <v>94.998253819927072</v>
      </c>
      <c r="BI21" s="386">
        <f t="shared" si="53"/>
        <v>7.5028957816915629E-3</v>
      </c>
      <c r="BJ21" s="386">
        <f t="shared" si="54"/>
        <v>0.17319205515093056</v>
      </c>
      <c r="BK21" s="386">
        <f t="shared" si="40"/>
        <v>9.7798694972546923E-2</v>
      </c>
      <c r="BL21" s="386">
        <f t="shared" si="41"/>
        <v>4.0184443848607636E-2</v>
      </c>
      <c r="BM21" s="386">
        <f t="shared" si="55"/>
        <v>6.7149806038117649E-4</v>
      </c>
      <c r="BS21" s="18"/>
      <c r="BT21" s="19"/>
    </row>
    <row r="22" spans="1:83" x14ac:dyDescent="0.2">
      <c r="A22" s="36" t="s">
        <v>61</v>
      </c>
      <c r="B22" s="39">
        <f>Cin*1000000</f>
        <v>100</v>
      </c>
      <c r="C22" s="485" t="s">
        <v>675</v>
      </c>
      <c r="D22" s="482" t="s">
        <v>693</v>
      </c>
      <c r="G22">
        <v>13</v>
      </c>
      <c r="H22" s="610">
        <f t="shared" si="0"/>
        <v>12</v>
      </c>
      <c r="I22" s="445" t="str">
        <f t="shared" si="1"/>
        <v>BUCK-BST</v>
      </c>
      <c r="J22">
        <f t="shared" si="43"/>
        <v>3</v>
      </c>
      <c r="K22" s="386">
        <f t="shared" si="44"/>
        <v>1.56</v>
      </c>
      <c r="L22" s="4">
        <f t="shared" si="2"/>
        <v>1.7333333333333332</v>
      </c>
      <c r="M22" s="4">
        <f t="shared" si="56"/>
        <v>1.6207792207792209</v>
      </c>
      <c r="N22" s="386">
        <f t="shared" si="3"/>
        <v>0.96250000000000002</v>
      </c>
      <c r="O22" s="386">
        <f t="shared" si="4"/>
        <v>3.7499999999999943E-2</v>
      </c>
      <c r="P22" s="4">
        <f t="shared" si="5"/>
        <v>0</v>
      </c>
      <c r="Q22" s="4">
        <f t="shared" si="6"/>
        <v>1.6207792207792209</v>
      </c>
      <c r="R22" s="386">
        <f t="shared" si="7"/>
        <v>8.8063995423738276E-3</v>
      </c>
      <c r="S22" s="386">
        <f t="shared" si="45"/>
        <v>0</v>
      </c>
      <c r="T22" s="386">
        <f t="shared" si="46"/>
        <v>8.8063995423738276E-3</v>
      </c>
      <c r="U22" s="4">
        <f t="shared" si="8"/>
        <v>0.30792139324117168</v>
      </c>
      <c r="V22" s="386">
        <f t="shared" si="9"/>
        <v>1.8963116883116858E-4</v>
      </c>
      <c r="W22" s="386">
        <f t="shared" si="47"/>
        <v>1.8963116883116858E-4</v>
      </c>
      <c r="X22" s="4">
        <f t="shared" si="10"/>
        <v>0</v>
      </c>
      <c r="Y22" s="386">
        <f t="shared" si="11"/>
        <v>0</v>
      </c>
      <c r="Z22" s="603">
        <f t="shared" si="48"/>
        <v>0</v>
      </c>
      <c r="AA22" s="386">
        <f t="shared" si="12"/>
        <v>1.5900992372853919</v>
      </c>
      <c r="AB22" s="386">
        <f t="shared" si="13"/>
        <v>1.4411968831168836E-2</v>
      </c>
      <c r="AC22" s="386">
        <f t="shared" si="14"/>
        <v>8.0082954545454537E-3</v>
      </c>
      <c r="AD22" s="386">
        <f t="shared" si="15"/>
        <v>0</v>
      </c>
      <c r="AE22" s="386">
        <f t="shared" si="16"/>
        <v>2.248507512609103E-2</v>
      </c>
      <c r="AF22" s="386">
        <f t="shared" si="17"/>
        <v>0.31386254649784773</v>
      </c>
      <c r="AG22" s="386">
        <f t="shared" si="18"/>
        <v>5.6150527913644769E-4</v>
      </c>
      <c r="AH22" s="386">
        <f t="shared" si="19"/>
        <v>1.5600000000000001E-2</v>
      </c>
      <c r="AI22" s="386">
        <f t="shared" si="20"/>
        <v>1.6163320437087209E-2</v>
      </c>
      <c r="AJ22" s="386">
        <f t="shared" si="21"/>
        <v>0.31386254649784756</v>
      </c>
      <c r="AK22" s="386">
        <f t="shared" si="22"/>
        <v>1.871684263788157E-4</v>
      </c>
      <c r="AL22" s="386">
        <f t="shared" si="23"/>
        <v>5.7488094717986812E-2</v>
      </c>
      <c r="AM22" s="386">
        <f t="shared" si="24"/>
        <v>0</v>
      </c>
      <c r="AN22" s="386">
        <f t="shared" si="25"/>
        <v>5.7677422222836637E-2</v>
      </c>
      <c r="AO22" s="386">
        <f t="shared" si="49"/>
        <v>1.5900992372853919</v>
      </c>
      <c r="AP22" s="386">
        <f t="shared" si="26"/>
        <v>4.8039896103896119E-3</v>
      </c>
      <c r="AQ22" s="386">
        <f t="shared" si="27"/>
        <v>1.7333333333333333E-2</v>
      </c>
      <c r="AR22" s="386">
        <f t="shared" si="28"/>
        <v>2.2158612892946617E-2</v>
      </c>
      <c r="AS22" s="386">
        <f t="shared" si="29"/>
        <v>0</v>
      </c>
      <c r="AT22" s="386">
        <f t="shared" si="30"/>
        <v>0</v>
      </c>
      <c r="AU22" s="386">
        <f t="shared" si="31"/>
        <v>6.1775896814999988E-2</v>
      </c>
      <c r="AV22" s="386">
        <f t="shared" si="32"/>
        <v>7.8807758475290873E-4</v>
      </c>
      <c r="AW22" s="386">
        <f t="shared" si="33"/>
        <v>0.59328000000000003</v>
      </c>
      <c r="AX22" s="386">
        <f t="shared" si="34"/>
        <v>3.6000000000000004E-2</v>
      </c>
      <c r="AY22" s="386">
        <f t="shared" si="35"/>
        <v>9.8999999999999977E-2</v>
      </c>
      <c r="AZ22" s="386">
        <f t="shared" si="36"/>
        <v>4.3499999999999997E-2</v>
      </c>
      <c r="BA22" s="386">
        <f t="shared" si="57"/>
        <v>0.13499999999999998</v>
      </c>
      <c r="BB22" s="386">
        <f t="shared" si="58"/>
        <v>0.9183244357899194</v>
      </c>
      <c r="BC22">
        <f t="shared" si="37"/>
        <v>18.72</v>
      </c>
      <c r="BD22" s="604">
        <f t="shared" si="51"/>
        <v>0.95323814723641509</v>
      </c>
      <c r="BE22" s="614">
        <f t="shared" si="38"/>
        <v>4.9224757060368312</v>
      </c>
      <c r="BF22" s="614">
        <f t="shared" si="39"/>
        <v>2.1272329420948308</v>
      </c>
      <c r="BG22" s="9"/>
      <c r="BH22" s="4">
        <f t="shared" si="52"/>
        <v>95.323814723641505</v>
      </c>
      <c r="BI22" s="386">
        <f t="shared" si="53"/>
        <v>8.8063995423738276E-3</v>
      </c>
      <c r="BJ22" s="386">
        <f t="shared" si="54"/>
        <v>0.18026032749396148</v>
      </c>
      <c r="BK22" s="386">
        <f t="shared" si="40"/>
        <v>9.8449514120736631E-2</v>
      </c>
      <c r="BL22" s="386">
        <f t="shared" si="41"/>
        <v>4.2544658841896614E-2</v>
      </c>
      <c r="BM22" s="386">
        <f t="shared" si="55"/>
        <v>7.8807758475290873E-4</v>
      </c>
      <c r="BS22" s="18"/>
      <c r="BT22" s="19"/>
    </row>
    <row r="23" spans="1:83" x14ac:dyDescent="0.2">
      <c r="A23" s="36" t="s">
        <v>90</v>
      </c>
      <c r="B23" s="39">
        <f>RCinEsr*1000</f>
        <v>2</v>
      </c>
      <c r="C23" s="484" t="s">
        <v>674</v>
      </c>
      <c r="D23" s="482" t="s">
        <v>689</v>
      </c>
      <c r="G23">
        <v>14</v>
      </c>
      <c r="H23" s="610">
        <f t="shared" si="0"/>
        <v>12</v>
      </c>
      <c r="I23" s="445" t="str">
        <f t="shared" si="1"/>
        <v>BUCK-BST</v>
      </c>
      <c r="J23">
        <f t="shared" si="43"/>
        <v>3</v>
      </c>
      <c r="K23" s="386">
        <f t="shared" si="44"/>
        <v>1.68</v>
      </c>
      <c r="L23" s="4">
        <f t="shared" si="2"/>
        <v>1.8666666666666665</v>
      </c>
      <c r="M23" s="4">
        <f t="shared" si="56"/>
        <v>1.7454545454545454</v>
      </c>
      <c r="N23" s="386">
        <f t="shared" si="3"/>
        <v>0.96250000000000002</v>
      </c>
      <c r="O23" s="386">
        <f t="shared" si="4"/>
        <v>3.7499999999999943E-2</v>
      </c>
      <c r="P23" s="4">
        <f t="shared" si="5"/>
        <v>0</v>
      </c>
      <c r="Q23" s="4">
        <f t="shared" si="6"/>
        <v>1.7454545454545454</v>
      </c>
      <c r="R23" s="386">
        <f t="shared" si="7"/>
        <v>1.0214488807713158E-2</v>
      </c>
      <c r="S23" s="386">
        <f t="shared" si="45"/>
        <v>0</v>
      </c>
      <c r="T23" s="386">
        <f t="shared" si="46"/>
        <v>1.0214488807713158E-2</v>
      </c>
      <c r="U23" s="4">
        <f t="shared" si="8"/>
        <v>0.33160765425972333</v>
      </c>
      <c r="V23" s="386">
        <f t="shared" si="9"/>
        <v>2.1992727272727243E-4</v>
      </c>
      <c r="W23" s="386">
        <f t="shared" si="47"/>
        <v>2.1992727272727243E-4</v>
      </c>
      <c r="X23" s="4">
        <f t="shared" si="10"/>
        <v>0</v>
      </c>
      <c r="Y23" s="386">
        <f t="shared" si="11"/>
        <v>0</v>
      </c>
      <c r="Z23" s="603">
        <f t="shared" si="48"/>
        <v>0</v>
      </c>
      <c r="AA23" s="386">
        <f t="shared" si="12"/>
        <v>1.712414563230422</v>
      </c>
      <c r="AB23" s="386">
        <f t="shared" si="13"/>
        <v>1.6714472727272733E-2</v>
      </c>
      <c r="AC23" s="386">
        <f t="shared" si="14"/>
        <v>8.6243181818181809E-3</v>
      </c>
      <c r="AD23" s="386">
        <f t="shared" si="15"/>
        <v>0</v>
      </c>
      <c r="AE23" s="386">
        <f t="shared" si="16"/>
        <v>2.5423779924324777E-2</v>
      </c>
      <c r="AF23" s="386">
        <f t="shared" si="17"/>
        <v>0.33800581930537449</v>
      </c>
      <c r="AG23" s="386">
        <f t="shared" si="18"/>
        <v>6.5121322314049554E-4</v>
      </c>
      <c r="AH23" s="386">
        <f t="shared" si="19"/>
        <v>1.6799999999999999E-2</v>
      </c>
      <c r="AI23" s="386">
        <f t="shared" si="20"/>
        <v>1.7453486411368693E-2</v>
      </c>
      <c r="AJ23" s="386">
        <f t="shared" si="21"/>
        <v>0.33800581930537427</v>
      </c>
      <c r="AK23" s="386">
        <f t="shared" si="22"/>
        <v>2.1707107438016492E-4</v>
      </c>
      <c r="AL23" s="386">
        <f t="shared" si="23"/>
        <v>5.7488094717986812E-2</v>
      </c>
      <c r="AM23" s="386">
        <f t="shared" si="24"/>
        <v>0</v>
      </c>
      <c r="AN23" s="386">
        <f t="shared" si="25"/>
        <v>5.7707671125601226E-2</v>
      </c>
      <c r="AO23" s="386">
        <f t="shared" si="49"/>
        <v>1.712414563230422</v>
      </c>
      <c r="AP23" s="386">
        <f t="shared" si="26"/>
        <v>5.5714909090909103E-3</v>
      </c>
      <c r="AQ23" s="386">
        <f t="shared" si="27"/>
        <v>1.8666666666666665E-2</v>
      </c>
      <c r="AR23" s="386">
        <f t="shared" si="28"/>
        <v>2.4265196239809057E-2</v>
      </c>
      <c r="AS23" s="386">
        <f t="shared" si="29"/>
        <v>0</v>
      </c>
      <c r="AT23" s="386">
        <f t="shared" si="30"/>
        <v>0</v>
      </c>
      <c r="AU23" s="386">
        <f t="shared" si="31"/>
        <v>6.2719442459999997E-2</v>
      </c>
      <c r="AV23" s="386">
        <f t="shared" si="32"/>
        <v>9.1398347107437921E-4</v>
      </c>
      <c r="AW23" s="386">
        <f t="shared" si="33"/>
        <v>0.59328000000000003</v>
      </c>
      <c r="AX23" s="386">
        <f t="shared" si="34"/>
        <v>3.6000000000000004E-2</v>
      </c>
      <c r="AY23" s="386">
        <f t="shared" si="35"/>
        <v>9.8999999999999977E-2</v>
      </c>
      <c r="AZ23" s="386">
        <f t="shared" si="36"/>
        <v>4.3499999999999997E-2</v>
      </c>
      <c r="BA23" s="386">
        <f t="shared" si="57"/>
        <v>0.13499999999999998</v>
      </c>
      <c r="BB23" s="386">
        <f t="shared" si="58"/>
        <v>0.92719797571261853</v>
      </c>
      <c r="BC23">
        <f t="shared" si="37"/>
        <v>20.16</v>
      </c>
      <c r="BD23" s="604">
        <f t="shared" si="51"/>
        <v>0.95603029018931163</v>
      </c>
      <c r="BE23" s="614">
        <f t="shared" si="38"/>
        <v>4.9551251574600608</v>
      </c>
      <c r="BF23" s="614">
        <f t="shared" si="39"/>
        <v>2.2481306125804528</v>
      </c>
      <c r="BG23" s="9"/>
      <c r="BH23" s="4">
        <f t="shared" si="52"/>
        <v>95.603029018931167</v>
      </c>
      <c r="BI23" s="386">
        <f t="shared" si="53"/>
        <v>1.0214488807713158E-2</v>
      </c>
      <c r="BJ23" s="386">
        <f t="shared" si="54"/>
        <v>0.18756957616110376</v>
      </c>
      <c r="BK23" s="386">
        <f t="shared" si="40"/>
        <v>9.9102503149201215E-2</v>
      </c>
      <c r="BL23" s="386">
        <f t="shared" si="41"/>
        <v>4.4962612251609052E-2</v>
      </c>
      <c r="BM23" s="386">
        <f t="shared" si="55"/>
        <v>9.1398347107437921E-4</v>
      </c>
      <c r="BS23" s="18"/>
      <c r="BT23" s="19"/>
    </row>
    <row r="24" spans="1:83" x14ac:dyDescent="0.2">
      <c r="A24" s="35" t="s">
        <v>27</v>
      </c>
      <c r="B24" s="39">
        <f>Cout*1000000</f>
        <v>600</v>
      </c>
      <c r="C24" s="483" t="s">
        <v>675</v>
      </c>
      <c r="D24" s="482" t="s">
        <v>692</v>
      </c>
      <c r="G24">
        <v>15</v>
      </c>
      <c r="H24" s="610">
        <f t="shared" si="0"/>
        <v>12</v>
      </c>
      <c r="I24" s="445" t="str">
        <f t="shared" si="1"/>
        <v>BUCK-BST</v>
      </c>
      <c r="J24">
        <f t="shared" si="43"/>
        <v>3</v>
      </c>
      <c r="K24" s="386">
        <f t="shared" si="44"/>
        <v>1.8</v>
      </c>
      <c r="L24" s="4">
        <f t="shared" si="2"/>
        <v>2</v>
      </c>
      <c r="M24" s="4">
        <f t="shared" si="56"/>
        <v>1.8701298701298701</v>
      </c>
      <c r="N24" s="386">
        <f t="shared" si="3"/>
        <v>0.96250000000000002</v>
      </c>
      <c r="O24" s="386">
        <f t="shared" si="4"/>
        <v>3.7499999999999943E-2</v>
      </c>
      <c r="P24" s="4">
        <f t="shared" si="5"/>
        <v>0</v>
      </c>
      <c r="Q24" s="4">
        <f t="shared" si="6"/>
        <v>1.8701298701298701</v>
      </c>
      <c r="R24" s="386">
        <f t="shared" si="7"/>
        <v>1.1727234128589415E-2</v>
      </c>
      <c r="S24" s="386">
        <f t="shared" si="45"/>
        <v>0</v>
      </c>
      <c r="T24" s="386">
        <f t="shared" si="46"/>
        <v>1.1727234128589415E-2</v>
      </c>
      <c r="U24" s="4">
        <f t="shared" si="8"/>
        <v>0.35529391527827497</v>
      </c>
      <c r="V24" s="386">
        <f t="shared" si="9"/>
        <v>2.5246753246753207E-4</v>
      </c>
      <c r="W24" s="386">
        <f t="shared" si="47"/>
        <v>2.5246753246753207E-4</v>
      </c>
      <c r="X24" s="4">
        <f t="shared" si="10"/>
        <v>0</v>
      </c>
      <c r="Y24" s="386">
        <f t="shared" si="11"/>
        <v>0</v>
      </c>
      <c r="Z24" s="603">
        <f t="shared" si="48"/>
        <v>0</v>
      </c>
      <c r="AA24" s="386">
        <f t="shared" si="12"/>
        <v>1.834729889175452</v>
      </c>
      <c r="AB24" s="386">
        <f t="shared" si="13"/>
        <v>1.9187532467532471E-2</v>
      </c>
      <c r="AC24" s="386">
        <f t="shared" si="14"/>
        <v>9.2403409090909081E-3</v>
      </c>
      <c r="AD24" s="386">
        <f t="shared" si="15"/>
        <v>0</v>
      </c>
      <c r="AE24" s="386">
        <f t="shared" si="16"/>
        <v>2.8537385779861296E-2</v>
      </c>
      <c r="AF24" s="386">
        <f t="shared" si="17"/>
        <v>0.36214909211290119</v>
      </c>
      <c r="AG24" s="386">
        <f t="shared" si="18"/>
        <v>7.4756620003373195E-4</v>
      </c>
      <c r="AH24" s="386">
        <f t="shared" si="19"/>
        <v>1.8000000000000002E-2</v>
      </c>
      <c r="AI24" s="386">
        <f t="shared" si="20"/>
        <v>1.8750369628548223E-2</v>
      </c>
      <c r="AJ24" s="386">
        <f t="shared" si="21"/>
        <v>0.36214909211290103</v>
      </c>
      <c r="AK24" s="386">
        <f t="shared" si="22"/>
        <v>2.4918873334457708E-4</v>
      </c>
      <c r="AL24" s="386">
        <f t="shared" si="23"/>
        <v>5.7488094717986812E-2</v>
      </c>
      <c r="AM24" s="386">
        <f t="shared" si="24"/>
        <v>0</v>
      </c>
      <c r="AN24" s="386">
        <f t="shared" si="25"/>
        <v>5.7740161090852456E-2</v>
      </c>
      <c r="AO24" s="386">
        <f t="shared" si="49"/>
        <v>1.834729889175452</v>
      </c>
      <c r="AP24" s="386">
        <f t="shared" si="26"/>
        <v>6.3958441558441565E-3</v>
      </c>
      <c r="AQ24" s="386">
        <f t="shared" si="27"/>
        <v>0.02</v>
      </c>
      <c r="AR24" s="386">
        <f t="shared" si="28"/>
        <v>2.6429652143084226E-2</v>
      </c>
      <c r="AS24" s="386">
        <f t="shared" si="29"/>
        <v>0</v>
      </c>
      <c r="AT24" s="386">
        <f t="shared" si="30"/>
        <v>0</v>
      </c>
      <c r="AU24" s="386">
        <f t="shared" si="31"/>
        <v>6.3662880374999981E-2</v>
      </c>
      <c r="AV24" s="386">
        <f t="shared" si="32"/>
        <v>1.0492157193455881E-3</v>
      </c>
      <c r="AW24" s="386">
        <f t="shared" si="33"/>
        <v>0.59328000000000003</v>
      </c>
      <c r="AX24" s="386">
        <f t="shared" si="34"/>
        <v>3.6000000000000004E-2</v>
      </c>
      <c r="AY24" s="386">
        <f t="shared" si="35"/>
        <v>9.8999999999999977E-2</v>
      </c>
      <c r="AZ24" s="386">
        <f t="shared" si="36"/>
        <v>4.3499999999999997E-2</v>
      </c>
      <c r="BA24" s="386">
        <f t="shared" si="57"/>
        <v>0.13499999999999998</v>
      </c>
      <c r="BB24" s="386">
        <f t="shared" si="58"/>
        <v>0.93642936639774876</v>
      </c>
      <c r="BC24">
        <f t="shared" si="37"/>
        <v>21.6</v>
      </c>
      <c r="BD24" s="604">
        <f t="shared" si="51"/>
        <v>0.95844819287149441</v>
      </c>
      <c r="BE24" s="614">
        <f t="shared" si="38"/>
        <v>4.9878831069176215</v>
      </c>
      <c r="BF24" s="614">
        <f t="shared" si="39"/>
        <v>2.3719201333417108</v>
      </c>
      <c r="BG24" s="9"/>
      <c r="BH24" s="4">
        <f t="shared" si="52"/>
        <v>95.844819287149434</v>
      </c>
      <c r="BI24" s="386">
        <f t="shared" si="53"/>
        <v>1.1727234128589415E-2</v>
      </c>
      <c r="BJ24" s="386">
        <f t="shared" si="54"/>
        <v>0.19512044901734618</v>
      </c>
      <c r="BK24" s="386">
        <f t="shared" si="40"/>
        <v>9.9757662138352438E-2</v>
      </c>
      <c r="BL24" s="386">
        <f t="shared" si="41"/>
        <v>4.7438402666834217E-2</v>
      </c>
      <c r="BM24" s="386">
        <f t="shared" si="55"/>
        <v>1.0492157193455881E-3</v>
      </c>
      <c r="BS24" s="18"/>
      <c r="BT24" s="19"/>
    </row>
    <row r="25" spans="1:83" x14ac:dyDescent="0.2">
      <c r="A25" s="35" t="s">
        <v>89</v>
      </c>
      <c r="B25" s="40">
        <f>CoutEsr*1000</f>
        <v>2</v>
      </c>
      <c r="C25" s="484" t="s">
        <v>674</v>
      </c>
      <c r="D25" s="482" t="s">
        <v>691</v>
      </c>
      <c r="G25">
        <v>16</v>
      </c>
      <c r="H25" s="610">
        <f t="shared" si="0"/>
        <v>12</v>
      </c>
      <c r="I25" s="445" t="str">
        <f t="shared" si="1"/>
        <v>BUCK-BST</v>
      </c>
      <c r="J25">
        <f t="shared" si="43"/>
        <v>3</v>
      </c>
      <c r="K25" s="386">
        <f t="shared" si="44"/>
        <v>1.92</v>
      </c>
      <c r="L25" s="4">
        <f t="shared" si="2"/>
        <v>2.1333333333333333</v>
      </c>
      <c r="M25" s="4">
        <f t="shared" si="56"/>
        <v>1.9948051948051946</v>
      </c>
      <c r="N25" s="386">
        <f t="shared" si="3"/>
        <v>0.96250000000000002</v>
      </c>
      <c r="O25" s="386">
        <f t="shared" si="4"/>
        <v>3.7499999999999943E-2</v>
      </c>
      <c r="P25" s="4">
        <f t="shared" si="5"/>
        <v>0</v>
      </c>
      <c r="Q25" s="4">
        <f t="shared" si="6"/>
        <v>1.9948051948051946</v>
      </c>
      <c r="R25" s="386">
        <f t="shared" si="7"/>
        <v>1.3344711326102474E-2</v>
      </c>
      <c r="S25" s="386">
        <f t="shared" si="45"/>
        <v>0</v>
      </c>
      <c r="T25" s="386">
        <f t="shared" si="46"/>
        <v>1.3344711326102474E-2</v>
      </c>
      <c r="U25" s="4">
        <f t="shared" si="8"/>
        <v>0.37898017629682662</v>
      </c>
      <c r="V25" s="386">
        <f t="shared" si="9"/>
        <v>2.8725194805194758E-4</v>
      </c>
      <c r="W25" s="386">
        <f t="shared" si="47"/>
        <v>2.8725194805194758E-4</v>
      </c>
      <c r="X25" s="4">
        <f t="shared" si="10"/>
        <v>0</v>
      </c>
      <c r="Y25" s="386">
        <f t="shared" si="11"/>
        <v>0</v>
      </c>
      <c r="Z25" s="603">
        <f t="shared" si="48"/>
        <v>0</v>
      </c>
      <c r="AA25" s="386">
        <f t="shared" si="12"/>
        <v>1.957045215120482</v>
      </c>
      <c r="AB25" s="386">
        <f t="shared" si="13"/>
        <v>2.1831148051948052E-2</v>
      </c>
      <c r="AC25" s="386">
        <f t="shared" si="14"/>
        <v>9.8563636363636353E-3</v>
      </c>
      <c r="AD25" s="386">
        <f t="shared" si="15"/>
        <v>0</v>
      </c>
      <c r="AE25" s="386">
        <f t="shared" si="16"/>
        <v>3.1826473378772362E-2</v>
      </c>
      <c r="AF25" s="386">
        <f t="shared" si="17"/>
        <v>0.38629236492042796</v>
      </c>
      <c r="AG25" s="386">
        <f t="shared" si="18"/>
        <v>8.5056420981615734E-4</v>
      </c>
      <c r="AH25" s="386">
        <f t="shared" si="19"/>
        <v>1.9199999999999998E-2</v>
      </c>
      <c r="AI25" s="386">
        <f t="shared" si="20"/>
        <v>2.0053975648606403E-2</v>
      </c>
      <c r="AJ25" s="386">
        <f t="shared" si="21"/>
        <v>0.38629236492042773</v>
      </c>
      <c r="AK25" s="386">
        <f t="shared" si="22"/>
        <v>2.8352140327205216E-4</v>
      </c>
      <c r="AL25" s="386">
        <f t="shared" si="23"/>
        <v>5.7488094717986812E-2</v>
      </c>
      <c r="AM25" s="386">
        <f t="shared" si="24"/>
        <v>0</v>
      </c>
      <c r="AN25" s="386">
        <f t="shared" si="25"/>
        <v>5.777489220496123E-2</v>
      </c>
      <c r="AO25" s="386">
        <f t="shared" si="49"/>
        <v>1.957045215120482</v>
      </c>
      <c r="AP25" s="386">
        <f t="shared" si="26"/>
        <v>7.2770493506493497E-3</v>
      </c>
      <c r="AQ25" s="386">
        <f t="shared" si="27"/>
        <v>2.1333333333333333E-2</v>
      </c>
      <c r="AR25" s="386">
        <f t="shared" si="28"/>
        <v>2.8652083208684384E-2</v>
      </c>
      <c r="AS25" s="386">
        <f t="shared" si="29"/>
        <v>0</v>
      </c>
      <c r="AT25" s="386">
        <f t="shared" si="30"/>
        <v>0</v>
      </c>
      <c r="AU25" s="386">
        <f t="shared" si="31"/>
        <v>6.4606210559999988E-2</v>
      </c>
      <c r="AV25" s="386">
        <f t="shared" si="32"/>
        <v>1.193774329566536E-3</v>
      </c>
      <c r="AW25" s="386">
        <f t="shared" si="33"/>
        <v>0.59328000000000003</v>
      </c>
      <c r="AX25" s="386">
        <f t="shared" si="34"/>
        <v>3.6000000000000004E-2</v>
      </c>
      <c r="AY25" s="386">
        <f t="shared" si="35"/>
        <v>9.8999999999999977E-2</v>
      </c>
      <c r="AZ25" s="386">
        <f t="shared" si="36"/>
        <v>4.3499999999999997E-2</v>
      </c>
      <c r="BA25" s="386">
        <f t="shared" si="57"/>
        <v>0.13499999999999998</v>
      </c>
      <c r="BB25" s="386">
        <f t="shared" si="58"/>
        <v>0.94601937260474522</v>
      </c>
      <c r="BC25">
        <f t="shared" si="37"/>
        <v>23.04</v>
      </c>
      <c r="BD25" s="604">
        <f t="shared" si="51"/>
        <v>0.96055955104892365</v>
      </c>
      <c r="BE25" s="614">
        <f t="shared" si="38"/>
        <v>5.0207495587280615</v>
      </c>
      <c r="BF25" s="614">
        <f t="shared" si="39"/>
        <v>2.4986066346742191</v>
      </c>
      <c r="BG25" s="9"/>
      <c r="BH25" s="4">
        <f t="shared" si="52"/>
        <v>96.055955104892362</v>
      </c>
      <c r="BI25" s="386">
        <f t="shared" si="53"/>
        <v>1.3344711326102474E-2</v>
      </c>
      <c r="BJ25" s="386">
        <f t="shared" si="54"/>
        <v>0.20291363500102438</v>
      </c>
      <c r="BK25" s="386">
        <f t="shared" si="40"/>
        <v>0.10041499117456122</v>
      </c>
      <c r="BL25" s="386">
        <f t="shared" si="41"/>
        <v>4.9972132693484383E-2</v>
      </c>
      <c r="BM25" s="386">
        <f t="shared" si="55"/>
        <v>1.193774329566536E-3</v>
      </c>
      <c r="BQ25" t="s">
        <v>151</v>
      </c>
      <c r="BR25" t="s">
        <v>4</v>
      </c>
      <c r="BS25" t="s">
        <v>6</v>
      </c>
      <c r="BT25" t="s">
        <v>5</v>
      </c>
      <c r="BU25" t="s">
        <v>152</v>
      </c>
      <c r="BV25" t="s">
        <v>153</v>
      </c>
    </row>
    <row r="26" spans="1:83" x14ac:dyDescent="0.2">
      <c r="A26" s="24" t="s">
        <v>116</v>
      </c>
      <c r="B26" s="37" t="s">
        <v>115</v>
      </c>
      <c r="C26" s="24" t="s">
        <v>80</v>
      </c>
      <c r="D26" s="17" t="s">
        <v>111</v>
      </c>
      <c r="G26">
        <v>17</v>
      </c>
      <c r="H26" s="610">
        <f t="shared" si="0"/>
        <v>12</v>
      </c>
      <c r="I26" s="445" t="str">
        <f t="shared" si="1"/>
        <v>BUCK-BST</v>
      </c>
      <c r="J26">
        <f t="shared" si="43"/>
        <v>3</v>
      </c>
      <c r="K26" s="386">
        <f t="shared" si="44"/>
        <v>2.04</v>
      </c>
      <c r="L26" s="4">
        <f t="shared" si="2"/>
        <v>2.2666666666666666</v>
      </c>
      <c r="M26" s="4">
        <f t="shared" si="56"/>
        <v>2.1194805194805193</v>
      </c>
      <c r="N26" s="386">
        <f t="shared" si="3"/>
        <v>0.96250000000000002</v>
      </c>
      <c r="O26" s="386">
        <f t="shared" si="4"/>
        <v>3.7499999999999943E-2</v>
      </c>
      <c r="P26" s="4">
        <f t="shared" si="5"/>
        <v>0</v>
      </c>
      <c r="Q26" s="4">
        <f t="shared" si="6"/>
        <v>2.1194805194805193</v>
      </c>
      <c r="R26" s="386">
        <f t="shared" si="7"/>
        <v>1.5067001501084183E-2</v>
      </c>
      <c r="S26" s="386">
        <f t="shared" si="45"/>
        <v>0</v>
      </c>
      <c r="T26" s="386">
        <f t="shared" si="46"/>
        <v>1.5067001501084183E-2</v>
      </c>
      <c r="U26" s="4">
        <f t="shared" si="8"/>
        <v>0.40266643731537832</v>
      </c>
      <c r="V26" s="386">
        <f t="shared" si="9"/>
        <v>3.2428051948051902E-4</v>
      </c>
      <c r="W26" s="386">
        <f t="shared" si="47"/>
        <v>3.2428051948051902E-4</v>
      </c>
      <c r="X26" s="4">
        <f t="shared" si="10"/>
        <v>0</v>
      </c>
      <c r="Y26" s="386">
        <f t="shared" si="11"/>
        <v>0</v>
      </c>
      <c r="Z26" s="603">
        <f t="shared" si="48"/>
        <v>0</v>
      </c>
      <c r="AA26" s="386">
        <f t="shared" si="12"/>
        <v>2.0793605410655123</v>
      </c>
      <c r="AB26" s="386">
        <f t="shared" si="13"/>
        <v>2.4645319480519484E-2</v>
      </c>
      <c r="AC26" s="386">
        <f t="shared" si="14"/>
        <v>1.0472386363636363E-2</v>
      </c>
      <c r="AD26" s="386">
        <f t="shared" si="15"/>
        <v>0</v>
      </c>
      <c r="AE26" s="386">
        <f t="shared" si="16"/>
        <v>3.5291660694719743E-2</v>
      </c>
      <c r="AF26" s="386">
        <f t="shared" si="17"/>
        <v>0.41043563772795472</v>
      </c>
      <c r="AG26" s="386">
        <f t="shared" si="18"/>
        <v>9.602072524877715E-4</v>
      </c>
      <c r="AH26" s="386">
        <f t="shared" si="19"/>
        <v>2.0400000000000001E-2</v>
      </c>
      <c r="AI26" s="386">
        <f t="shared" si="20"/>
        <v>2.1364310085585488E-2</v>
      </c>
      <c r="AJ26" s="386">
        <f t="shared" si="21"/>
        <v>0.41043563772795444</v>
      </c>
      <c r="AK26" s="386">
        <f t="shared" si="22"/>
        <v>3.2006908416259001E-4</v>
      </c>
      <c r="AL26" s="386">
        <f t="shared" si="23"/>
        <v>5.7488094717986812E-2</v>
      </c>
      <c r="AM26" s="386">
        <f t="shared" si="24"/>
        <v>0</v>
      </c>
      <c r="AN26" s="386">
        <f t="shared" si="25"/>
        <v>5.7811864560258115E-2</v>
      </c>
      <c r="AO26" s="386">
        <f t="shared" si="49"/>
        <v>2.0793605410655123</v>
      </c>
      <c r="AP26" s="386">
        <f t="shared" si="26"/>
        <v>8.2151064935064941E-3</v>
      </c>
      <c r="AQ26" s="386">
        <f t="shared" si="27"/>
        <v>2.2666666666666665E-2</v>
      </c>
      <c r="AR26" s="386">
        <f t="shared" si="28"/>
        <v>3.0932596074347438E-2</v>
      </c>
      <c r="AS26" s="386">
        <f t="shared" si="29"/>
        <v>0</v>
      </c>
      <c r="AT26" s="386">
        <f t="shared" si="30"/>
        <v>0</v>
      </c>
      <c r="AU26" s="386">
        <f t="shared" si="31"/>
        <v>6.5549433014999992E-2</v>
      </c>
      <c r="AV26" s="386">
        <f t="shared" si="32"/>
        <v>1.347659301737222E-3</v>
      </c>
      <c r="AW26" s="386">
        <f t="shared" si="33"/>
        <v>0.59328000000000003</v>
      </c>
      <c r="AX26" s="386">
        <f t="shared" si="34"/>
        <v>3.6000000000000004E-2</v>
      </c>
      <c r="AY26" s="386">
        <f t="shared" si="35"/>
        <v>9.8999999999999977E-2</v>
      </c>
      <c r="AZ26" s="386">
        <f t="shared" si="36"/>
        <v>4.3499999999999997E-2</v>
      </c>
      <c r="BA26" s="386">
        <f t="shared" si="57"/>
        <v>0.13499999999999998</v>
      </c>
      <c r="BB26" s="386">
        <f t="shared" si="58"/>
        <v>0.95596880575221266</v>
      </c>
      <c r="BC26">
        <f t="shared" si="37"/>
        <v>24.48</v>
      </c>
      <c r="BD26" s="604">
        <f t="shared" si="51"/>
        <v>0.96241665442143387</v>
      </c>
      <c r="BE26" s="614">
        <f t="shared" si="38"/>
        <v>5.0537245175079057</v>
      </c>
      <c r="BF26" s="614">
        <f t="shared" si="39"/>
        <v>2.6281954484648722</v>
      </c>
      <c r="BG26" s="9"/>
      <c r="BH26" s="4">
        <f t="shared" si="52"/>
        <v>96.241665442143386</v>
      </c>
      <c r="BI26" s="386">
        <f t="shared" si="53"/>
        <v>1.5067001501084183E-2</v>
      </c>
      <c r="BJ26" s="386">
        <f t="shared" si="54"/>
        <v>0.21094986442991076</v>
      </c>
      <c r="BK26" s="386">
        <f t="shared" si="40"/>
        <v>0.10107449035015811</v>
      </c>
      <c r="BL26" s="386">
        <f t="shared" si="41"/>
        <v>5.256390896929744E-2</v>
      </c>
      <c r="BM26" s="386">
        <f t="shared" si="55"/>
        <v>1.347659301737222E-3</v>
      </c>
      <c r="BQ26" t="s">
        <v>154</v>
      </c>
      <c r="BR26">
        <v>9.9989640000000009</v>
      </c>
      <c r="BS26">
        <v>0.1027</v>
      </c>
      <c r="BT26">
        <v>5.1211359999999999</v>
      </c>
      <c r="BU26">
        <v>61.870683235325004</v>
      </c>
      <c r="BV26">
        <v>324.12365701136014</v>
      </c>
    </row>
    <row r="27" spans="1:83" x14ac:dyDescent="0.2">
      <c r="A27" s="22" t="s">
        <v>65</v>
      </c>
      <c r="B27" s="5">
        <f>RdsonDRT</f>
        <v>1.5</v>
      </c>
      <c r="C27" s="486" t="s">
        <v>120</v>
      </c>
      <c r="D27" s="482" t="s">
        <v>718</v>
      </c>
      <c r="G27">
        <v>18</v>
      </c>
      <c r="H27" s="610">
        <f t="shared" si="0"/>
        <v>12</v>
      </c>
      <c r="I27" s="445" t="str">
        <f t="shared" si="1"/>
        <v>BUCK-BST</v>
      </c>
      <c r="J27">
        <f t="shared" si="43"/>
        <v>3</v>
      </c>
      <c r="K27" s="386">
        <f t="shared" si="44"/>
        <v>2.16</v>
      </c>
      <c r="L27" s="4">
        <f t="shared" si="2"/>
        <v>2.4</v>
      </c>
      <c r="M27" s="4">
        <f t="shared" si="56"/>
        <v>2.2441558441558445</v>
      </c>
      <c r="N27" s="386">
        <f t="shared" si="3"/>
        <v>0.96250000000000002</v>
      </c>
      <c r="O27" s="386">
        <f t="shared" si="4"/>
        <v>3.7499999999999943E-2</v>
      </c>
      <c r="P27" s="4">
        <f t="shared" si="5"/>
        <v>0</v>
      </c>
      <c r="Q27" s="4">
        <f t="shared" si="6"/>
        <v>2.2441558441558445</v>
      </c>
      <c r="R27" s="386">
        <f t="shared" si="7"/>
        <v>1.6894191044278146E-2</v>
      </c>
      <c r="S27" s="386">
        <f t="shared" si="45"/>
        <v>0</v>
      </c>
      <c r="T27" s="386">
        <f t="shared" si="46"/>
        <v>1.6894191044278146E-2</v>
      </c>
      <c r="U27" s="4">
        <f t="shared" si="8"/>
        <v>0.42635269833393002</v>
      </c>
      <c r="V27" s="386">
        <f t="shared" si="9"/>
        <v>3.6355324675324633E-4</v>
      </c>
      <c r="W27" s="386">
        <f t="shared" si="47"/>
        <v>3.6355324675324633E-4</v>
      </c>
      <c r="X27" s="4">
        <f t="shared" si="10"/>
        <v>0</v>
      </c>
      <c r="Y27" s="386">
        <f t="shared" si="11"/>
        <v>0</v>
      </c>
      <c r="Z27" s="603">
        <f t="shared" si="48"/>
        <v>0</v>
      </c>
      <c r="AA27" s="386">
        <f t="shared" si="12"/>
        <v>2.2016758670105427</v>
      </c>
      <c r="AB27" s="386">
        <f t="shared" si="13"/>
        <v>2.7630046753246762E-2</v>
      </c>
      <c r="AC27" s="386">
        <f t="shared" si="14"/>
        <v>1.108840909090909E-2</v>
      </c>
      <c r="AD27" s="386">
        <f t="shared" si="15"/>
        <v>0</v>
      </c>
      <c r="AE27" s="386">
        <f t="shared" si="16"/>
        <v>3.8933603300046388E-2</v>
      </c>
      <c r="AF27" s="386">
        <f t="shared" si="17"/>
        <v>0.43457891053548153</v>
      </c>
      <c r="AG27" s="386">
        <f t="shared" si="18"/>
        <v>1.0764953280485746E-3</v>
      </c>
      <c r="AH27" s="386">
        <f t="shared" si="19"/>
        <v>2.1600000000000001E-2</v>
      </c>
      <c r="AI27" s="386">
        <f t="shared" si="20"/>
        <v>2.2681378607669545E-2</v>
      </c>
      <c r="AJ27" s="386">
        <f t="shared" si="21"/>
        <v>0.43457891053548131</v>
      </c>
      <c r="AK27" s="386">
        <f t="shared" si="22"/>
        <v>3.5883177601619113E-4</v>
      </c>
      <c r="AL27" s="386">
        <f t="shared" si="23"/>
        <v>5.7488094717986812E-2</v>
      </c>
      <c r="AM27" s="386">
        <f t="shared" si="24"/>
        <v>0</v>
      </c>
      <c r="AN27" s="386">
        <f t="shared" si="25"/>
        <v>5.7851078255033946E-2</v>
      </c>
      <c r="AO27" s="386">
        <f t="shared" si="49"/>
        <v>2.2016758670105427</v>
      </c>
      <c r="AP27" s="386">
        <f t="shared" si="26"/>
        <v>9.2100155844155873E-3</v>
      </c>
      <c r="AQ27" s="386">
        <f t="shared" si="27"/>
        <v>2.4E-2</v>
      </c>
      <c r="AR27" s="386">
        <f t="shared" si="28"/>
        <v>3.3271301425343826E-2</v>
      </c>
      <c r="AS27" s="386">
        <f t="shared" si="29"/>
        <v>0</v>
      </c>
      <c r="AT27" s="386">
        <f t="shared" si="30"/>
        <v>0</v>
      </c>
      <c r="AU27" s="386">
        <f t="shared" si="31"/>
        <v>6.6492547739999991E-2</v>
      </c>
      <c r="AV27" s="386">
        <f t="shared" si="32"/>
        <v>1.5108706358576477E-3</v>
      </c>
      <c r="AW27" s="386">
        <f t="shared" si="33"/>
        <v>0.59328000000000003</v>
      </c>
      <c r="AX27" s="386">
        <f t="shared" si="34"/>
        <v>3.6000000000000004E-2</v>
      </c>
      <c r="AY27" s="386">
        <f t="shared" si="35"/>
        <v>9.8999999999999977E-2</v>
      </c>
      <c r="AZ27" s="386">
        <f t="shared" si="36"/>
        <v>4.3499999999999997E-2</v>
      </c>
      <c r="BA27" s="386">
        <f t="shared" si="57"/>
        <v>0.13499999999999998</v>
      </c>
      <c r="BB27" s="386">
        <f t="shared" si="58"/>
        <v>0.96627852425498273</v>
      </c>
      <c r="BC27">
        <f t="shared" si="37"/>
        <v>25.92</v>
      </c>
      <c r="BD27" s="604">
        <f t="shared" si="51"/>
        <v>0.964060532833383</v>
      </c>
      <c r="BE27" s="614">
        <f t="shared" si="38"/>
        <v>5.0868079881716977</v>
      </c>
      <c r="BF27" s="614">
        <f t="shared" si="39"/>
        <v>2.760692108977191</v>
      </c>
      <c r="BG27" s="9"/>
      <c r="BH27" s="4">
        <f t="shared" si="52"/>
        <v>96.406053283338295</v>
      </c>
      <c r="BI27" s="386">
        <f t="shared" si="53"/>
        <v>1.6894191044278146E-2</v>
      </c>
      <c r="BJ27" s="386">
        <f t="shared" si="54"/>
        <v>0.21922990932809369</v>
      </c>
      <c r="BK27" s="386">
        <f t="shared" si="40"/>
        <v>0.10173615976343395</v>
      </c>
      <c r="BL27" s="386">
        <f t="shared" si="41"/>
        <v>5.5213842179543823E-2</v>
      </c>
      <c r="BM27" s="386">
        <f t="shared" si="55"/>
        <v>1.5108706358576477E-3</v>
      </c>
      <c r="BQ27" t="s">
        <v>155</v>
      </c>
      <c r="BR27">
        <v>9.9986669999999993</v>
      </c>
      <c r="BS27">
        <v>0.1166</v>
      </c>
      <c r="BT27">
        <v>5.1212980000000003</v>
      </c>
      <c r="BU27">
        <v>64.729420570558148</v>
      </c>
      <c r="BV27">
        <v>325.37886459483997</v>
      </c>
    </row>
    <row r="28" spans="1:83" x14ac:dyDescent="0.2">
      <c r="A28" s="22" t="s">
        <v>150</v>
      </c>
      <c r="B28" s="5">
        <f>RdsonDRT2</f>
        <v>1</v>
      </c>
      <c r="C28" s="486" t="s">
        <v>120</v>
      </c>
      <c r="D28" s="482" t="s">
        <v>717</v>
      </c>
      <c r="G28">
        <v>19</v>
      </c>
      <c r="H28" s="610">
        <f t="shared" si="0"/>
        <v>12</v>
      </c>
      <c r="I28" s="445" t="str">
        <f t="shared" si="1"/>
        <v>BUCK-BST</v>
      </c>
      <c r="J28">
        <f t="shared" si="43"/>
        <v>3</v>
      </c>
      <c r="K28" s="386">
        <f t="shared" si="44"/>
        <v>2.2799999999999998</v>
      </c>
      <c r="L28" s="4">
        <f t="shared" si="2"/>
        <v>2.5333333333333332</v>
      </c>
      <c r="M28" s="4">
        <f t="shared" si="56"/>
        <v>2.3688311688311687</v>
      </c>
      <c r="N28" s="386">
        <f t="shared" si="3"/>
        <v>0.96250000000000002</v>
      </c>
      <c r="O28" s="386">
        <f t="shared" si="4"/>
        <v>3.7499999999999943E-2</v>
      </c>
      <c r="P28" s="4">
        <f t="shared" si="5"/>
        <v>0</v>
      </c>
      <c r="Q28" s="4">
        <f t="shared" si="6"/>
        <v>2.3688311688311687</v>
      </c>
      <c r="R28" s="386">
        <f t="shared" si="7"/>
        <v>1.882637164718973E-2</v>
      </c>
      <c r="S28" s="386">
        <f t="shared" si="45"/>
        <v>0</v>
      </c>
      <c r="T28" s="386">
        <f t="shared" si="46"/>
        <v>1.882637164718973E-2</v>
      </c>
      <c r="U28" s="4">
        <f t="shared" si="8"/>
        <v>0.45003895935248162</v>
      </c>
      <c r="V28" s="386">
        <f t="shared" si="9"/>
        <v>4.0507012987012919E-4</v>
      </c>
      <c r="W28" s="386">
        <f t="shared" si="47"/>
        <v>4.0507012987012919E-4</v>
      </c>
      <c r="X28" s="4">
        <f t="shared" si="10"/>
        <v>0</v>
      </c>
      <c r="Y28" s="386">
        <f t="shared" si="11"/>
        <v>0</v>
      </c>
      <c r="Z28" s="603">
        <f t="shared" si="48"/>
        <v>0</v>
      </c>
      <c r="AA28" s="386">
        <f t="shared" si="12"/>
        <v>2.3239911929555723</v>
      </c>
      <c r="AB28" s="386">
        <f t="shared" si="13"/>
        <v>3.0785329870129868E-2</v>
      </c>
      <c r="AC28" s="386">
        <f t="shared" si="14"/>
        <v>1.1704431818181817E-2</v>
      </c>
      <c r="AD28" s="386">
        <f t="shared" si="15"/>
        <v>0</v>
      </c>
      <c r="AE28" s="386">
        <f t="shared" si="16"/>
        <v>4.2752994697249837E-2</v>
      </c>
      <c r="AF28" s="386">
        <f t="shared" si="17"/>
        <v>0.45872218334300818</v>
      </c>
      <c r="AG28" s="386">
        <f t="shared" si="18"/>
        <v>1.1994284364985656E-3</v>
      </c>
      <c r="AH28" s="386">
        <f t="shared" si="19"/>
        <v>2.2799999999999997E-2</v>
      </c>
      <c r="AI28" s="386">
        <f t="shared" si="20"/>
        <v>2.4005186937265766E-2</v>
      </c>
      <c r="AJ28" s="386">
        <f t="shared" si="21"/>
        <v>0.45872218334300796</v>
      </c>
      <c r="AK28" s="386">
        <f t="shared" si="22"/>
        <v>3.9980947883285482E-4</v>
      </c>
      <c r="AL28" s="386">
        <f t="shared" si="23"/>
        <v>5.7488094717986812E-2</v>
      </c>
      <c r="AM28" s="386">
        <f t="shared" si="24"/>
        <v>0</v>
      </c>
      <c r="AN28" s="386">
        <f t="shared" si="25"/>
        <v>5.7892533393540543E-2</v>
      </c>
      <c r="AO28" s="386">
        <f t="shared" si="49"/>
        <v>2.3239911929555723</v>
      </c>
      <c r="AP28" s="386">
        <f t="shared" si="26"/>
        <v>1.0261776623376621E-2</v>
      </c>
      <c r="AQ28" s="386">
        <f t="shared" si="27"/>
        <v>2.5333333333333333E-2</v>
      </c>
      <c r="AR28" s="386">
        <f t="shared" si="28"/>
        <v>3.5668314010892398E-2</v>
      </c>
      <c r="AS28" s="386">
        <f t="shared" si="29"/>
        <v>0</v>
      </c>
      <c r="AT28" s="386">
        <f t="shared" si="30"/>
        <v>0</v>
      </c>
      <c r="AU28" s="386">
        <f t="shared" si="31"/>
        <v>6.7435554734999986E-2</v>
      </c>
      <c r="AV28" s="386">
        <f t="shared" si="32"/>
        <v>1.6834083319278107E-3</v>
      </c>
      <c r="AW28" s="386">
        <f t="shared" si="33"/>
        <v>0.59328000000000003</v>
      </c>
      <c r="AX28" s="386">
        <f t="shared" si="34"/>
        <v>3.6000000000000004E-2</v>
      </c>
      <c r="AY28" s="386">
        <f t="shared" si="35"/>
        <v>9.8999999999999977E-2</v>
      </c>
      <c r="AZ28" s="386">
        <f t="shared" si="36"/>
        <v>4.3499999999999997E-2</v>
      </c>
      <c r="BA28" s="386">
        <f t="shared" si="57"/>
        <v>0.13499999999999998</v>
      </c>
      <c r="BB28" s="386">
        <f t="shared" si="58"/>
        <v>0.9769494338829362</v>
      </c>
      <c r="BC28">
        <f t="shared" si="37"/>
        <v>27.36</v>
      </c>
      <c r="BD28" s="604">
        <f t="shared" si="51"/>
        <v>0.9655238318379189</v>
      </c>
      <c r="BE28" s="614">
        <f t="shared" si="38"/>
        <v>5.1199999759320267</v>
      </c>
      <c r="BF28" s="614">
        <f t="shared" si="39"/>
        <v>2.89610235367212</v>
      </c>
      <c r="BG28" s="9"/>
      <c r="BH28" s="4">
        <f t="shared" si="52"/>
        <v>96.552383183791889</v>
      </c>
      <c r="BI28" s="386">
        <f t="shared" si="53"/>
        <v>1.882637164718973E-2</v>
      </c>
      <c r="BJ28" s="386">
        <f t="shared" si="54"/>
        <v>0.22775458377394853</v>
      </c>
      <c r="BK28" s="386">
        <f t="shared" si="40"/>
        <v>0.10239999951864054</v>
      </c>
      <c r="BL28" s="386">
        <f t="shared" si="41"/>
        <v>5.7922047073442395E-2</v>
      </c>
      <c r="BM28" s="386">
        <f t="shared" si="55"/>
        <v>1.6834083319278107E-3</v>
      </c>
      <c r="BQ28" t="s">
        <v>156</v>
      </c>
      <c r="BR28">
        <v>9.9987659999999998</v>
      </c>
      <c r="BS28">
        <v>0.14660000000000001</v>
      </c>
      <c r="BT28">
        <v>5.1213230000000003</v>
      </c>
      <c r="BU28">
        <v>69.885376918691776</v>
      </c>
      <c r="BV28">
        <v>323.52446193379996</v>
      </c>
    </row>
    <row r="29" spans="1:83" x14ac:dyDescent="0.2">
      <c r="A29" s="24" t="s">
        <v>117</v>
      </c>
      <c r="B29" s="15" t="s">
        <v>115</v>
      </c>
      <c r="C29" s="24" t="s">
        <v>80</v>
      </c>
      <c r="D29" s="17" t="s">
        <v>111</v>
      </c>
      <c r="G29">
        <v>20</v>
      </c>
      <c r="H29" s="610">
        <f t="shared" si="0"/>
        <v>12</v>
      </c>
      <c r="I29" s="445" t="str">
        <f t="shared" si="1"/>
        <v>BUCK-BST</v>
      </c>
      <c r="J29">
        <f t="shared" si="43"/>
        <v>3</v>
      </c>
      <c r="K29" s="386">
        <f t="shared" si="44"/>
        <v>2.4</v>
      </c>
      <c r="L29" s="4">
        <f t="shared" si="2"/>
        <v>2.6666666666666661</v>
      </c>
      <c r="M29" s="4">
        <f t="shared" si="56"/>
        <v>2.4935064935064934</v>
      </c>
      <c r="N29" s="386">
        <f t="shared" si="3"/>
        <v>0.96250000000000002</v>
      </c>
      <c r="O29" s="386">
        <f t="shared" si="4"/>
        <v>3.7499999999999943E-2</v>
      </c>
      <c r="P29" s="4">
        <f t="shared" si="5"/>
        <v>0</v>
      </c>
      <c r="Q29" s="4">
        <f t="shared" si="6"/>
        <v>2.4935064935064934</v>
      </c>
      <c r="R29" s="386">
        <f t="shared" si="7"/>
        <v>2.0863640313608971E-2</v>
      </c>
      <c r="S29" s="386">
        <f t="shared" si="45"/>
        <v>0</v>
      </c>
      <c r="T29" s="386">
        <f t="shared" si="46"/>
        <v>2.0863640313608971E-2</v>
      </c>
      <c r="U29" s="4">
        <f t="shared" si="8"/>
        <v>0.47372522037103326</v>
      </c>
      <c r="V29" s="386">
        <f t="shared" si="9"/>
        <v>4.4883116883116808E-4</v>
      </c>
      <c r="W29" s="386">
        <f t="shared" si="47"/>
        <v>4.4883116883116808E-4</v>
      </c>
      <c r="X29" s="4">
        <f t="shared" si="10"/>
        <v>0</v>
      </c>
      <c r="Y29" s="386">
        <f t="shared" si="11"/>
        <v>0</v>
      </c>
      <c r="Z29" s="603">
        <f t="shared" si="48"/>
        <v>0</v>
      </c>
      <c r="AA29" s="386">
        <f t="shared" si="12"/>
        <v>2.4463065189006028</v>
      </c>
      <c r="AB29" s="386">
        <f t="shared" si="13"/>
        <v>3.4111168831168839E-2</v>
      </c>
      <c r="AC29" s="386">
        <f t="shared" si="14"/>
        <v>1.2320454545454542E-2</v>
      </c>
      <c r="AD29" s="386">
        <f t="shared" si="15"/>
        <v>0</v>
      </c>
      <c r="AE29" s="386">
        <f t="shared" si="16"/>
        <v>4.6750566671157921E-2</v>
      </c>
      <c r="AF29" s="386">
        <f t="shared" si="17"/>
        <v>0.48286545615053494</v>
      </c>
      <c r="AG29" s="386">
        <f t="shared" si="18"/>
        <v>1.3290065778377459E-3</v>
      </c>
      <c r="AH29" s="386">
        <f t="shared" si="19"/>
        <v>2.4E-2</v>
      </c>
      <c r="AI29" s="386">
        <f t="shared" si="20"/>
        <v>2.5335740851086846E-2</v>
      </c>
      <c r="AJ29" s="386">
        <f t="shared" si="21"/>
        <v>0.48286545615053467</v>
      </c>
      <c r="AK29" s="386">
        <f t="shared" si="22"/>
        <v>4.4300219261258144E-4</v>
      </c>
      <c r="AL29" s="386">
        <f t="shared" si="23"/>
        <v>5.7488094717986812E-2</v>
      </c>
      <c r="AM29" s="386">
        <f t="shared" si="24"/>
        <v>0</v>
      </c>
      <c r="AN29" s="386">
        <f t="shared" si="25"/>
        <v>5.7936230085991358E-2</v>
      </c>
      <c r="AO29" s="386">
        <f t="shared" si="49"/>
        <v>2.4463065189006028</v>
      </c>
      <c r="AP29" s="386">
        <f t="shared" si="26"/>
        <v>1.1370389610389612E-2</v>
      </c>
      <c r="AQ29" s="386">
        <f t="shared" si="27"/>
        <v>2.6666666666666661E-2</v>
      </c>
      <c r="AR29" s="386">
        <f t="shared" si="28"/>
        <v>3.8123752661290075E-2</v>
      </c>
      <c r="AS29" s="386">
        <f t="shared" si="29"/>
        <v>0</v>
      </c>
      <c r="AT29" s="386">
        <f t="shared" si="30"/>
        <v>0</v>
      </c>
      <c r="AU29" s="386">
        <f t="shared" si="31"/>
        <v>6.8378453999999977E-2</v>
      </c>
      <c r="AV29" s="386">
        <f t="shared" si="32"/>
        <v>1.8652723899477124E-3</v>
      </c>
      <c r="AW29" s="386">
        <f t="shared" si="33"/>
        <v>0.59328000000000003</v>
      </c>
      <c r="AX29" s="386">
        <f t="shared" si="34"/>
        <v>3.6000000000000004E-2</v>
      </c>
      <c r="AY29" s="386">
        <f t="shared" si="35"/>
        <v>9.8999999999999977E-2</v>
      </c>
      <c r="AZ29" s="386">
        <f t="shared" si="36"/>
        <v>4.3499999999999997E-2</v>
      </c>
      <c r="BA29" s="386">
        <f t="shared" si="57"/>
        <v>0.13499999999999998</v>
      </c>
      <c r="BB29" s="386">
        <f t="shared" si="58"/>
        <v>0.98798248814191403</v>
      </c>
      <c r="BC29">
        <f t="shared" si="37"/>
        <v>28.799999999999997</v>
      </c>
      <c r="BD29" s="604">
        <f t="shared" si="51"/>
        <v>0.96683284984019269</v>
      </c>
      <c r="BE29" s="614">
        <f t="shared" si="38"/>
        <v>5.1533004862995666</v>
      </c>
      <c r="BF29" s="614">
        <f t="shared" si="39"/>
        <v>3.0344321240645034</v>
      </c>
      <c r="BG29" s="9"/>
      <c r="BH29" s="4">
        <f t="shared" si="52"/>
        <v>96.683284984019267</v>
      </c>
      <c r="BI29" s="386">
        <f t="shared" si="53"/>
        <v>2.0863640313608971E-2</v>
      </c>
      <c r="BJ29" s="386">
        <f t="shared" si="54"/>
        <v>0.23652474426952619</v>
      </c>
      <c r="BK29" s="386">
        <f t="shared" si="40"/>
        <v>0.10306600972599134</v>
      </c>
      <c r="BL29" s="386">
        <f t="shared" si="41"/>
        <v>6.0688642481290064E-2</v>
      </c>
      <c r="BM29" s="386">
        <f t="shared" si="55"/>
        <v>1.8652723899477124E-3</v>
      </c>
      <c r="BQ29" t="s">
        <v>157</v>
      </c>
      <c r="BR29">
        <v>9.9987899999999996</v>
      </c>
      <c r="BS29">
        <v>0.1958</v>
      </c>
      <c r="BT29">
        <v>5.1217600000000001</v>
      </c>
      <c r="BU29">
        <v>75.662516566515876</v>
      </c>
      <c r="BV29">
        <v>322.57199766699983</v>
      </c>
    </row>
    <row r="30" spans="1:83" x14ac:dyDescent="0.2">
      <c r="A30" s="22" t="s">
        <v>64</v>
      </c>
      <c r="B30" s="27">
        <f>RdsonDRB</f>
        <v>1.5</v>
      </c>
      <c r="C30" s="486" t="s">
        <v>120</v>
      </c>
      <c r="D30" s="482" t="s">
        <v>716</v>
      </c>
      <c r="G30">
        <v>21</v>
      </c>
      <c r="H30" s="610">
        <f t="shared" si="0"/>
        <v>12</v>
      </c>
      <c r="I30" s="445" t="str">
        <f t="shared" si="1"/>
        <v>BUCK-BST</v>
      </c>
      <c r="J30">
        <f t="shared" si="43"/>
        <v>3</v>
      </c>
      <c r="K30" s="386">
        <f t="shared" si="44"/>
        <v>2.52</v>
      </c>
      <c r="L30" s="4">
        <f t="shared" si="2"/>
        <v>2.8</v>
      </c>
      <c r="M30" s="4">
        <f t="shared" si="56"/>
        <v>2.6181818181818182</v>
      </c>
      <c r="N30" s="386">
        <f t="shared" si="3"/>
        <v>0.96250000000000002</v>
      </c>
      <c r="O30" s="386">
        <f t="shared" si="4"/>
        <v>3.7499999999999943E-2</v>
      </c>
      <c r="P30" s="4">
        <f t="shared" si="5"/>
        <v>0</v>
      </c>
      <c r="Q30" s="4">
        <f t="shared" si="6"/>
        <v>2.6181818181818182</v>
      </c>
      <c r="R30" s="386">
        <f t="shared" si="7"/>
        <v>2.3006099371808857E-2</v>
      </c>
      <c r="S30" s="386">
        <f t="shared" si="45"/>
        <v>0</v>
      </c>
      <c r="T30" s="386">
        <f t="shared" si="46"/>
        <v>2.3006099371808857E-2</v>
      </c>
      <c r="U30" s="4">
        <f t="shared" si="8"/>
        <v>0.49741148138958496</v>
      </c>
      <c r="V30" s="386">
        <f t="shared" si="9"/>
        <v>4.948363636363629E-4</v>
      </c>
      <c r="W30" s="386">
        <f t="shared" si="47"/>
        <v>4.948363636363629E-4</v>
      </c>
      <c r="X30" s="4">
        <f t="shared" si="10"/>
        <v>0</v>
      </c>
      <c r="Y30" s="386">
        <f t="shared" si="11"/>
        <v>0</v>
      </c>
      <c r="Z30" s="603">
        <f t="shared" si="48"/>
        <v>0</v>
      </c>
      <c r="AA30" s="386">
        <f t="shared" si="12"/>
        <v>2.5686218448456328</v>
      </c>
      <c r="AB30" s="386">
        <f t="shared" si="13"/>
        <v>3.7607563636363639E-2</v>
      </c>
      <c r="AC30" s="386">
        <f t="shared" si="14"/>
        <v>1.2936477272727273E-2</v>
      </c>
      <c r="AD30" s="386">
        <f t="shared" si="15"/>
        <v>0</v>
      </c>
      <c r="AE30" s="386">
        <f t="shared" si="16"/>
        <v>5.0927089662147713E-2</v>
      </c>
      <c r="AF30" s="386">
        <f t="shared" si="17"/>
        <v>0.50700872895806171</v>
      </c>
      <c r="AG30" s="386">
        <f t="shared" si="18"/>
        <v>1.4652297520661151E-3</v>
      </c>
      <c r="AH30" s="386">
        <f t="shared" si="19"/>
        <v>2.52E-2</v>
      </c>
      <c r="AI30" s="386">
        <f t="shared" si="20"/>
        <v>2.667304618023442E-2</v>
      </c>
      <c r="AJ30" s="386">
        <f t="shared" si="21"/>
        <v>0.50700872895806137</v>
      </c>
      <c r="AK30" s="386">
        <f t="shared" si="22"/>
        <v>4.8840991735537101E-4</v>
      </c>
      <c r="AL30" s="386">
        <f t="shared" si="23"/>
        <v>5.7488094717986812E-2</v>
      </c>
      <c r="AM30" s="386">
        <f t="shared" si="24"/>
        <v>0</v>
      </c>
      <c r="AN30" s="386">
        <f t="shared" si="25"/>
        <v>5.7982168448562195E-2</v>
      </c>
      <c r="AO30" s="386">
        <f t="shared" si="49"/>
        <v>2.5686218448456328</v>
      </c>
      <c r="AP30" s="386">
        <f t="shared" si="26"/>
        <v>1.2535854545454545E-2</v>
      </c>
      <c r="AQ30" s="386">
        <f t="shared" si="27"/>
        <v>2.7999999999999997E-2</v>
      </c>
      <c r="AR30" s="386">
        <f t="shared" si="28"/>
        <v>4.0637740305760332E-2</v>
      </c>
      <c r="AS30" s="386">
        <f t="shared" si="29"/>
        <v>0</v>
      </c>
      <c r="AT30" s="386">
        <f t="shared" si="30"/>
        <v>0</v>
      </c>
      <c r="AU30" s="386">
        <f t="shared" si="31"/>
        <v>6.9321245534999992E-2</v>
      </c>
      <c r="AV30" s="386">
        <f t="shared" si="32"/>
        <v>2.056462809917353E-3</v>
      </c>
      <c r="AW30" s="386">
        <f t="shared" si="33"/>
        <v>0.59328000000000003</v>
      </c>
      <c r="AX30" s="386">
        <f t="shared" si="34"/>
        <v>3.6000000000000004E-2</v>
      </c>
      <c r="AY30" s="386">
        <f t="shared" si="35"/>
        <v>9.8999999999999977E-2</v>
      </c>
      <c r="AZ30" s="386">
        <f t="shared" si="36"/>
        <v>4.3499999999999997E-2</v>
      </c>
      <c r="BA30" s="386">
        <f t="shared" si="57"/>
        <v>0.13499999999999998</v>
      </c>
      <c r="BB30" s="386">
        <f t="shared" si="58"/>
        <v>0.99937868867706725</v>
      </c>
      <c r="BC30">
        <f t="shared" si="37"/>
        <v>30.240000000000002</v>
      </c>
      <c r="BD30" s="604">
        <f t="shared" si="51"/>
        <v>0.96800900880146834</v>
      </c>
      <c r="BE30" s="614">
        <f t="shared" si="38"/>
        <v>5.186709525083109</v>
      </c>
      <c r="BF30" s="614">
        <f t="shared" si="39"/>
        <v>3.1756875666155162</v>
      </c>
      <c r="BG30" s="9"/>
      <c r="BH30" s="4">
        <f t="shared" si="52"/>
        <v>96.800900880146827</v>
      </c>
      <c r="BI30" s="386">
        <f t="shared" si="53"/>
        <v>2.3006099371808857E-2</v>
      </c>
      <c r="BJ30" s="386">
        <f t="shared" si="54"/>
        <v>0.24554129013170467</v>
      </c>
      <c r="BK30" s="386">
        <f t="shared" si="40"/>
        <v>0.10373419050166219</v>
      </c>
      <c r="BL30" s="386">
        <f t="shared" si="41"/>
        <v>6.3513751332310325E-2</v>
      </c>
      <c r="BM30" s="386">
        <f t="shared" si="55"/>
        <v>2.056462809917353E-3</v>
      </c>
      <c r="BR30">
        <v>9.9987659999999998</v>
      </c>
      <c r="BS30">
        <v>0.2681</v>
      </c>
      <c r="BT30">
        <v>5.1224080000000001</v>
      </c>
      <c r="BU30">
        <v>80.957553445887683</v>
      </c>
      <c r="BV30">
        <v>323.02506068319997</v>
      </c>
    </row>
    <row r="31" spans="1:83" x14ac:dyDescent="0.2">
      <c r="A31" s="22" t="s">
        <v>149</v>
      </c>
      <c r="B31" s="27">
        <v>1</v>
      </c>
      <c r="C31" s="486" t="s">
        <v>120</v>
      </c>
      <c r="D31" s="482" t="s">
        <v>715</v>
      </c>
      <c r="G31">
        <v>22</v>
      </c>
      <c r="H31" s="610">
        <f t="shared" si="0"/>
        <v>12</v>
      </c>
      <c r="I31" s="445" t="str">
        <f t="shared" si="1"/>
        <v>BUCK-BST</v>
      </c>
      <c r="J31">
        <f t="shared" si="43"/>
        <v>3</v>
      </c>
      <c r="K31" s="386">
        <f t="shared" si="44"/>
        <v>2.64</v>
      </c>
      <c r="L31" s="4">
        <f t="shared" si="2"/>
        <v>2.9333333333333331</v>
      </c>
      <c r="M31" s="4">
        <f t="shared" si="56"/>
        <v>2.7428571428571429</v>
      </c>
      <c r="N31" s="386">
        <f t="shared" si="3"/>
        <v>0.96250000000000002</v>
      </c>
      <c r="O31" s="386">
        <f t="shared" si="4"/>
        <v>3.7499999999999943E-2</v>
      </c>
      <c r="P31" s="4">
        <f t="shared" si="5"/>
        <v>0</v>
      </c>
      <c r="Q31" s="4">
        <f t="shared" si="6"/>
        <v>2.7428571428571429</v>
      </c>
      <c r="R31" s="386">
        <f t="shared" si="7"/>
        <v>2.5253856487422049E-2</v>
      </c>
      <c r="S31" s="386">
        <f t="shared" si="45"/>
        <v>0</v>
      </c>
      <c r="T31" s="386">
        <f t="shared" si="46"/>
        <v>2.5253856487422049E-2</v>
      </c>
      <c r="U31" s="4">
        <f t="shared" si="8"/>
        <v>0.52109774240813667</v>
      </c>
      <c r="V31" s="386">
        <f t="shared" si="9"/>
        <v>5.4308571428571348E-4</v>
      </c>
      <c r="W31" s="386">
        <f t="shared" si="47"/>
        <v>5.4308571428571348E-4</v>
      </c>
      <c r="X31" s="4">
        <f t="shared" si="10"/>
        <v>0</v>
      </c>
      <c r="Y31" s="386">
        <f t="shared" si="11"/>
        <v>0</v>
      </c>
      <c r="Z31" s="603">
        <f t="shared" si="48"/>
        <v>0</v>
      </c>
      <c r="AA31" s="386">
        <f t="shared" si="12"/>
        <v>2.6909371707906629</v>
      </c>
      <c r="AB31" s="386">
        <f t="shared" si="13"/>
        <v>4.1274514285714284E-2</v>
      </c>
      <c r="AC31" s="386">
        <f t="shared" si="14"/>
        <v>1.3552499999999999E-2</v>
      </c>
      <c r="AD31" s="386">
        <f t="shared" si="15"/>
        <v>0</v>
      </c>
      <c r="AE31" s="386">
        <f t="shared" si="16"/>
        <v>5.5283373160771622E-2</v>
      </c>
      <c r="AF31" s="386">
        <f t="shared" si="17"/>
        <v>0.53115200176558852</v>
      </c>
      <c r="AG31" s="386">
        <f t="shared" si="18"/>
        <v>1.6080979591836732E-3</v>
      </c>
      <c r="AH31" s="386">
        <f t="shared" si="19"/>
        <v>2.6400000000000003E-2</v>
      </c>
      <c r="AI31" s="386">
        <f t="shared" si="20"/>
        <v>2.8017108810283686E-2</v>
      </c>
      <c r="AJ31" s="386">
        <f t="shared" si="21"/>
        <v>0.53115200176558819</v>
      </c>
      <c r="AK31" s="386">
        <f t="shared" si="22"/>
        <v>5.3603265306122357E-4</v>
      </c>
      <c r="AL31" s="386">
        <f t="shared" si="23"/>
        <v>5.7488094717986812E-2</v>
      </c>
      <c r="AM31" s="386">
        <f t="shared" si="24"/>
        <v>0</v>
      </c>
      <c r="AN31" s="386">
        <f t="shared" si="25"/>
        <v>5.8030348603392026E-2</v>
      </c>
      <c r="AO31" s="386">
        <f t="shared" si="49"/>
        <v>2.6909371707906629</v>
      </c>
      <c r="AP31" s="386">
        <f t="shared" si="26"/>
        <v>1.3758171428571428E-2</v>
      </c>
      <c r="AQ31" s="386">
        <f t="shared" si="27"/>
        <v>2.9333333333333333E-2</v>
      </c>
      <c r="AR31" s="386">
        <f t="shared" si="28"/>
        <v>4.3210403991026033E-2</v>
      </c>
      <c r="AS31" s="386">
        <f t="shared" si="29"/>
        <v>0</v>
      </c>
      <c r="AT31" s="386">
        <f t="shared" si="30"/>
        <v>0</v>
      </c>
      <c r="AU31" s="386">
        <f t="shared" si="31"/>
        <v>7.0263929339999989E-2</v>
      </c>
      <c r="AV31" s="386">
        <f t="shared" si="32"/>
        <v>2.2569795918367329E-3</v>
      </c>
      <c r="AW31" s="386">
        <f t="shared" si="33"/>
        <v>0.59328000000000003</v>
      </c>
      <c r="AX31" s="386">
        <f t="shared" si="34"/>
        <v>3.6000000000000004E-2</v>
      </c>
      <c r="AY31" s="386">
        <f t="shared" si="35"/>
        <v>9.8999999999999977E-2</v>
      </c>
      <c r="AZ31" s="386">
        <f t="shared" si="36"/>
        <v>4.3499999999999997E-2</v>
      </c>
      <c r="BA31" s="386">
        <f t="shared" si="57"/>
        <v>0.13499999999999998</v>
      </c>
      <c r="BB31" s="386">
        <f t="shared" si="58"/>
        <v>1.0111390856990179</v>
      </c>
      <c r="BC31">
        <f t="shared" si="37"/>
        <v>31.68</v>
      </c>
      <c r="BD31" s="604">
        <f t="shared" si="51"/>
        <v>0.96906993411736608</v>
      </c>
      <c r="BE31" s="614">
        <f t="shared" si="38"/>
        <v>5.2202270983896017</v>
      </c>
      <c r="BF31" s="614">
        <f t="shared" si="39"/>
        <v>3.3198750336613014</v>
      </c>
      <c r="BG31" s="9"/>
      <c r="BH31" s="4">
        <f t="shared" si="52"/>
        <v>96.906993411736607</v>
      </c>
      <c r="BI31" s="386">
        <f t="shared" si="53"/>
        <v>2.5253856487422049E-2</v>
      </c>
      <c r="BJ31" s="386">
        <f t="shared" si="54"/>
        <v>0.25480516390547336</v>
      </c>
      <c r="BK31" s="386">
        <f t="shared" si="40"/>
        <v>0.10440454196779203</v>
      </c>
      <c r="BL31" s="386">
        <f t="shared" si="41"/>
        <v>6.6397500673226029E-2</v>
      </c>
      <c r="BM31" s="386">
        <f t="shared" si="55"/>
        <v>2.2569795918367329E-3</v>
      </c>
      <c r="BR31">
        <v>9.998704</v>
      </c>
      <c r="BS31">
        <v>0.36549999999999999</v>
      </c>
      <c r="BT31">
        <v>5.123094</v>
      </c>
      <c r="BU31">
        <v>85.419022273213088</v>
      </c>
      <c r="BV31">
        <v>319.63300692320018</v>
      </c>
    </row>
    <row r="32" spans="1:83" x14ac:dyDescent="0.2">
      <c r="A32" s="24" t="s">
        <v>66</v>
      </c>
      <c r="B32" s="15" t="s">
        <v>115</v>
      </c>
      <c r="C32" s="24" t="s">
        <v>80</v>
      </c>
      <c r="D32" s="17" t="s">
        <v>111</v>
      </c>
      <c r="G32">
        <v>23</v>
      </c>
      <c r="H32" s="610">
        <f t="shared" si="0"/>
        <v>12</v>
      </c>
      <c r="I32" s="445" t="str">
        <f t="shared" si="1"/>
        <v>BUCK-BST</v>
      </c>
      <c r="J32">
        <f t="shared" si="43"/>
        <v>3</v>
      </c>
      <c r="K32" s="386">
        <f t="shared" si="44"/>
        <v>2.76</v>
      </c>
      <c r="L32" s="4">
        <f t="shared" si="2"/>
        <v>3.0666666666666664</v>
      </c>
      <c r="M32" s="4">
        <f t="shared" si="56"/>
        <v>2.8675324675324672</v>
      </c>
      <c r="N32" s="386">
        <f t="shared" si="3"/>
        <v>0.96250000000000002</v>
      </c>
      <c r="O32" s="386">
        <f t="shared" si="4"/>
        <v>3.7499999999999943E-2</v>
      </c>
      <c r="P32" s="4">
        <f t="shared" si="5"/>
        <v>0</v>
      </c>
      <c r="Q32" s="4">
        <f t="shared" si="6"/>
        <v>2.8675324675324672</v>
      </c>
      <c r="R32" s="386">
        <f t="shared" si="7"/>
        <v>2.7607024676998999E-2</v>
      </c>
      <c r="S32" s="386">
        <f t="shared" si="45"/>
        <v>0</v>
      </c>
      <c r="T32" s="386">
        <f t="shared" si="46"/>
        <v>2.7607024676998999E-2</v>
      </c>
      <c r="U32" s="4">
        <f t="shared" si="8"/>
        <v>0.54478400342668831</v>
      </c>
      <c r="V32" s="386">
        <f t="shared" si="9"/>
        <v>5.9357922077921989E-4</v>
      </c>
      <c r="W32" s="386">
        <f t="shared" si="47"/>
        <v>5.9357922077921989E-4</v>
      </c>
      <c r="X32" s="4">
        <f t="shared" si="10"/>
        <v>0</v>
      </c>
      <c r="Y32" s="386">
        <f t="shared" si="11"/>
        <v>0</v>
      </c>
      <c r="Z32" s="603">
        <f t="shared" si="48"/>
        <v>0</v>
      </c>
      <c r="AA32" s="386">
        <f t="shared" si="12"/>
        <v>2.8132524967356929</v>
      </c>
      <c r="AB32" s="386">
        <f t="shared" si="13"/>
        <v>4.5112020779220781E-2</v>
      </c>
      <c r="AC32" s="386">
        <f t="shared" si="14"/>
        <v>1.4168522727272724E-2</v>
      </c>
      <c r="AD32" s="386">
        <f t="shared" si="15"/>
        <v>0</v>
      </c>
      <c r="AE32" s="386">
        <f t="shared" si="16"/>
        <v>5.9820266124175979E-2</v>
      </c>
      <c r="AF32" s="386">
        <f t="shared" si="17"/>
        <v>0.55529527457311512</v>
      </c>
      <c r="AG32" s="386">
        <f t="shared" si="18"/>
        <v>1.7576111991904186E-3</v>
      </c>
      <c r="AH32" s="386">
        <f t="shared" si="19"/>
        <v>2.76E-2</v>
      </c>
      <c r="AI32" s="386">
        <f t="shared" si="20"/>
        <v>2.9367934681369032E-2</v>
      </c>
      <c r="AJ32" s="386">
        <f t="shared" si="21"/>
        <v>0.55529527457311478</v>
      </c>
      <c r="AK32" s="386">
        <f t="shared" si="22"/>
        <v>5.858703997301388E-4</v>
      </c>
      <c r="AL32" s="386">
        <f t="shared" si="23"/>
        <v>5.7488094717986812E-2</v>
      </c>
      <c r="AM32" s="386">
        <f t="shared" si="24"/>
        <v>0</v>
      </c>
      <c r="AN32" s="386">
        <f t="shared" si="25"/>
        <v>5.8080770678583776E-2</v>
      </c>
      <c r="AO32" s="386">
        <f t="shared" si="49"/>
        <v>2.8132524967356929</v>
      </c>
      <c r="AP32" s="386">
        <f t="shared" si="26"/>
        <v>1.5037340259740259E-2</v>
      </c>
      <c r="AQ32" s="386">
        <f t="shared" si="27"/>
        <v>3.0666666666666665E-2</v>
      </c>
      <c r="AR32" s="386">
        <f t="shared" si="28"/>
        <v>4.5841874900611909E-2</v>
      </c>
      <c r="AS32" s="386">
        <f t="shared" si="29"/>
        <v>0</v>
      </c>
      <c r="AT32" s="386">
        <f t="shared" si="30"/>
        <v>0</v>
      </c>
      <c r="AU32" s="386">
        <f t="shared" si="31"/>
        <v>7.1206505414999982E-2</v>
      </c>
      <c r="AV32" s="386">
        <f t="shared" si="32"/>
        <v>2.4668227357058487E-3</v>
      </c>
      <c r="AW32" s="386">
        <f t="shared" si="33"/>
        <v>0.59328000000000003</v>
      </c>
      <c r="AX32" s="386">
        <f t="shared" si="34"/>
        <v>3.6000000000000004E-2</v>
      </c>
      <c r="AY32" s="386">
        <f t="shared" si="35"/>
        <v>9.8999999999999977E-2</v>
      </c>
      <c r="AZ32" s="386">
        <f t="shared" si="36"/>
        <v>4.3499999999999997E-2</v>
      </c>
      <c r="BA32" s="386">
        <f t="shared" si="57"/>
        <v>0.13499999999999998</v>
      </c>
      <c r="BB32" s="386">
        <f t="shared" si="58"/>
        <v>1.0232647784332247</v>
      </c>
      <c r="BC32">
        <f t="shared" si="37"/>
        <v>33.119999999999997</v>
      </c>
      <c r="BD32" s="604">
        <f t="shared" si="51"/>
        <v>0.9700302596991377</v>
      </c>
      <c r="BE32" s="614">
        <f t="shared" si="38"/>
        <v>5.2538532126241888</v>
      </c>
      <c r="BF32" s="614">
        <f t="shared" si="39"/>
        <v>3.467001084378095</v>
      </c>
      <c r="BG32" s="9"/>
      <c r="BH32" s="4">
        <f t="shared" si="52"/>
        <v>97.003025969913764</v>
      </c>
      <c r="BI32" s="386">
        <f t="shared" si="53"/>
        <v>2.7607024676998999E-2</v>
      </c>
      <c r="BJ32" s="386">
        <f t="shared" si="54"/>
        <v>0.2643173517997407</v>
      </c>
      <c r="BK32" s="386">
        <f t="shared" si="40"/>
        <v>0.10507706425248377</v>
      </c>
      <c r="BL32" s="386">
        <f t="shared" si="41"/>
        <v>6.9340021687561898E-2</v>
      </c>
      <c r="BM32" s="386">
        <f t="shared" si="55"/>
        <v>2.4668227357058487E-3</v>
      </c>
      <c r="BR32">
        <v>9.9987290000000009</v>
      </c>
      <c r="BS32">
        <v>0.49059999999999998</v>
      </c>
      <c r="BT32">
        <v>5.1238169999999998</v>
      </c>
      <c r="BU32">
        <v>88.551850267052174</v>
      </c>
      <c r="BV32">
        <v>324.98153184230057</v>
      </c>
    </row>
    <row r="33" spans="1:74" x14ac:dyDescent="0.2">
      <c r="A33" s="22" t="s">
        <v>66</v>
      </c>
      <c r="B33" s="5">
        <f>Deadtime*1000000000</f>
        <v>50</v>
      </c>
      <c r="C33" s="482" t="s">
        <v>79</v>
      </c>
      <c r="D33" s="21" t="s">
        <v>102</v>
      </c>
      <c r="G33">
        <v>24</v>
      </c>
      <c r="H33" s="610">
        <f t="shared" si="0"/>
        <v>12</v>
      </c>
      <c r="I33" s="445" t="str">
        <f t="shared" si="1"/>
        <v>BUCK-BST</v>
      </c>
      <c r="J33">
        <f t="shared" si="43"/>
        <v>3</v>
      </c>
      <c r="K33" s="386">
        <f t="shared" si="44"/>
        <v>2.88</v>
      </c>
      <c r="L33" s="4">
        <f t="shared" si="2"/>
        <v>3.2</v>
      </c>
      <c r="M33" s="4">
        <f t="shared" si="56"/>
        <v>2.9922077922077919</v>
      </c>
      <c r="N33" s="386">
        <f t="shared" si="3"/>
        <v>0.96250000000000002</v>
      </c>
      <c r="O33" s="386">
        <f t="shared" si="4"/>
        <v>3.7499999999999943E-2</v>
      </c>
      <c r="P33" s="4">
        <f t="shared" si="5"/>
        <v>0</v>
      </c>
      <c r="Q33" s="4">
        <f t="shared" si="6"/>
        <v>2.9922077922077919</v>
      </c>
      <c r="R33" s="386">
        <f t="shared" si="7"/>
        <v>3.0065722322250684E-2</v>
      </c>
      <c r="S33" s="386">
        <f t="shared" si="45"/>
        <v>0</v>
      </c>
      <c r="T33" s="386">
        <f t="shared" si="46"/>
        <v>3.0065722322250684E-2</v>
      </c>
      <c r="U33" s="4">
        <f t="shared" si="8"/>
        <v>0.56847026444523996</v>
      </c>
      <c r="V33" s="386">
        <f t="shared" si="9"/>
        <v>6.4631688311688211E-4</v>
      </c>
      <c r="W33" s="386">
        <f t="shared" si="47"/>
        <v>6.4631688311688211E-4</v>
      </c>
      <c r="X33" s="4">
        <f t="shared" si="10"/>
        <v>0</v>
      </c>
      <c r="Y33" s="386">
        <f t="shared" si="11"/>
        <v>0</v>
      </c>
      <c r="Z33" s="603">
        <f t="shared" si="48"/>
        <v>0</v>
      </c>
      <c r="AA33" s="386">
        <f t="shared" si="12"/>
        <v>2.9355678226807229</v>
      </c>
      <c r="AB33" s="386">
        <f t="shared" si="13"/>
        <v>4.9120083116883109E-2</v>
      </c>
      <c r="AC33" s="386">
        <f t="shared" si="14"/>
        <v>1.4784545454545453E-2</v>
      </c>
      <c r="AD33" s="386">
        <f t="shared" si="15"/>
        <v>0</v>
      </c>
      <c r="AE33" s="386">
        <f t="shared" si="16"/>
        <v>6.4538657414721187E-2</v>
      </c>
      <c r="AF33" s="386">
        <f t="shared" si="17"/>
        <v>0.57943854738064193</v>
      </c>
      <c r="AG33" s="386">
        <f t="shared" si="18"/>
        <v>1.9137694720863542E-3</v>
      </c>
      <c r="AH33" s="386">
        <f t="shared" si="19"/>
        <v>2.8799999999999999E-2</v>
      </c>
      <c r="AI33" s="386">
        <f t="shared" si="20"/>
        <v>3.0725529788270846E-2</v>
      </c>
      <c r="AJ33" s="386">
        <f t="shared" si="21"/>
        <v>0.5794385473806416</v>
      </c>
      <c r="AK33" s="386">
        <f t="shared" si="22"/>
        <v>6.3792315736211724E-4</v>
      </c>
      <c r="AL33" s="386">
        <f t="shared" si="23"/>
        <v>5.7488094717986812E-2</v>
      </c>
      <c r="AM33" s="386">
        <f t="shared" si="24"/>
        <v>0</v>
      </c>
      <c r="AN33" s="386">
        <f t="shared" si="25"/>
        <v>5.813343480820516E-2</v>
      </c>
      <c r="AO33" s="386">
        <f t="shared" si="49"/>
        <v>2.9355678226807229</v>
      </c>
      <c r="AP33" s="386">
        <f t="shared" si="26"/>
        <v>1.6373361038961035E-2</v>
      </c>
      <c r="AQ33" s="386">
        <f t="shared" si="27"/>
        <v>3.2000000000000001E-2</v>
      </c>
      <c r="AR33" s="386">
        <f t="shared" si="28"/>
        <v>4.8532288374882819E-2</v>
      </c>
      <c r="AS33" s="386">
        <f t="shared" si="29"/>
        <v>0</v>
      </c>
      <c r="AT33" s="386">
        <f t="shared" si="30"/>
        <v>0</v>
      </c>
      <c r="AU33" s="386">
        <f t="shared" si="31"/>
        <v>7.2148973759999985E-2</v>
      </c>
      <c r="AV33" s="386">
        <f t="shared" si="32"/>
        <v>2.6859922415247059E-3</v>
      </c>
      <c r="AW33" s="386">
        <f t="shared" si="33"/>
        <v>0.59328000000000003</v>
      </c>
      <c r="AX33" s="386">
        <f t="shared" si="34"/>
        <v>3.6000000000000004E-2</v>
      </c>
      <c r="AY33" s="386">
        <f t="shared" si="35"/>
        <v>9.8999999999999977E-2</v>
      </c>
      <c r="AZ33" s="386">
        <f t="shared" si="36"/>
        <v>4.3499999999999997E-2</v>
      </c>
      <c r="BA33" s="386">
        <f t="shared" si="57"/>
        <v>0.13499999999999998</v>
      </c>
      <c r="BB33" s="386">
        <f t="shared" si="58"/>
        <v>1.0357569155929722</v>
      </c>
      <c r="BC33">
        <f t="shared" si="37"/>
        <v>34.56</v>
      </c>
      <c r="BD33" s="604">
        <f t="shared" si="51"/>
        <v>0.97090223652080143</v>
      </c>
      <c r="BE33" s="614">
        <f t="shared" si="38"/>
        <v>5.2875878744902574</v>
      </c>
      <c r="BF33" s="614">
        <f t="shared" si="39"/>
        <v>3.6170724857841412</v>
      </c>
      <c r="BG33" s="9"/>
      <c r="BH33" s="4">
        <f t="shared" si="52"/>
        <v>97.090223652080141</v>
      </c>
      <c r="BI33" s="386">
        <f t="shared" si="53"/>
        <v>3.0065722322250684E-2</v>
      </c>
      <c r="BJ33" s="386">
        <f t="shared" si="54"/>
        <v>0.27407888414608</v>
      </c>
      <c r="BK33" s="386">
        <f t="shared" si="40"/>
        <v>0.10575175748980514</v>
      </c>
      <c r="BL33" s="386">
        <f t="shared" si="41"/>
        <v>7.2341449715682821E-2</v>
      </c>
      <c r="BM33" s="386">
        <f t="shared" si="55"/>
        <v>2.6859922415247059E-3</v>
      </c>
      <c r="BR33">
        <v>9.9986420000000003</v>
      </c>
      <c r="BS33">
        <v>0.64549999999999996</v>
      </c>
      <c r="BT33">
        <v>5.1237300000000001</v>
      </c>
      <c r="BU33">
        <v>90.41893857119905</v>
      </c>
      <c r="BV33">
        <v>350.45848473660021</v>
      </c>
    </row>
    <row r="34" spans="1:74" x14ac:dyDescent="0.2">
      <c r="A34" s="24" t="s">
        <v>56</v>
      </c>
      <c r="B34" s="15" t="s">
        <v>115</v>
      </c>
      <c r="C34" s="24" t="s">
        <v>80</v>
      </c>
      <c r="D34" s="17" t="s">
        <v>111</v>
      </c>
      <c r="G34">
        <v>25</v>
      </c>
      <c r="H34" s="610">
        <f t="shared" si="0"/>
        <v>12</v>
      </c>
      <c r="I34" s="4" t="str">
        <f t="shared" si="1"/>
        <v>BUCK-BST</v>
      </c>
      <c r="J34">
        <f t="shared" si="43"/>
        <v>3</v>
      </c>
      <c r="K34" s="386">
        <f t="shared" si="44"/>
        <v>3</v>
      </c>
      <c r="L34" s="4">
        <f t="shared" si="2"/>
        <v>3.333333333333333</v>
      </c>
      <c r="M34" s="4">
        <f t="shared" si="56"/>
        <v>3.116883116883117</v>
      </c>
      <c r="N34" s="386">
        <f t="shared" si="3"/>
        <v>0.96250000000000002</v>
      </c>
      <c r="O34" s="386">
        <f t="shared" si="4"/>
        <v>3.7499999999999943E-2</v>
      </c>
      <c r="P34" s="4">
        <f t="shared" si="5"/>
        <v>0</v>
      </c>
      <c r="Q34" s="4">
        <f t="shared" si="6"/>
        <v>3.116883116883117</v>
      </c>
      <c r="R34" s="386">
        <f t="shared" si="7"/>
        <v>3.2630073184979243E-2</v>
      </c>
      <c r="S34" s="386">
        <f t="shared" si="45"/>
        <v>0</v>
      </c>
      <c r="T34" s="386">
        <f t="shared" si="46"/>
        <v>3.2630073184979243E-2</v>
      </c>
      <c r="U34" s="4">
        <f t="shared" si="8"/>
        <v>0.59215652546379161</v>
      </c>
      <c r="V34" s="386">
        <f t="shared" si="9"/>
        <v>7.0129870129870026E-4</v>
      </c>
      <c r="W34" s="386">
        <f t="shared" si="47"/>
        <v>7.0129870129870026E-4</v>
      </c>
      <c r="X34" s="4">
        <f t="shared" si="10"/>
        <v>0</v>
      </c>
      <c r="Y34" s="386">
        <f t="shared" si="11"/>
        <v>0</v>
      </c>
      <c r="Z34" s="603">
        <f t="shared" si="48"/>
        <v>0</v>
      </c>
      <c r="AA34" s="386">
        <f t="shared" si="12"/>
        <v>3.0578831486257538</v>
      </c>
      <c r="AB34" s="386">
        <f t="shared" si="13"/>
        <v>5.3298701298701318E-2</v>
      </c>
      <c r="AC34" s="386">
        <f t="shared" si="14"/>
        <v>1.540056818181818E-2</v>
      </c>
      <c r="AD34" s="386">
        <f t="shared" si="15"/>
        <v>0</v>
      </c>
      <c r="AE34" s="386">
        <f t="shared" si="16"/>
        <v>6.9439476261236671E-2</v>
      </c>
      <c r="AF34" s="386">
        <f t="shared" si="17"/>
        <v>0.60358182018816875</v>
      </c>
      <c r="AG34" s="386">
        <f t="shared" si="18"/>
        <v>2.0765727778714782E-3</v>
      </c>
      <c r="AH34" s="386">
        <f t="shared" si="19"/>
        <v>0.03</v>
      </c>
      <c r="AI34" s="386">
        <f t="shared" si="20"/>
        <v>3.2089900180503367E-2</v>
      </c>
      <c r="AJ34" s="386">
        <f t="shared" si="21"/>
        <v>0.60358182018816842</v>
      </c>
      <c r="AK34" s="386">
        <f t="shared" si="22"/>
        <v>6.9219092595715868E-4</v>
      </c>
      <c r="AL34" s="386">
        <f t="shared" si="23"/>
        <v>5.7488094717986812E-2</v>
      </c>
      <c r="AM34" s="386">
        <f t="shared" si="24"/>
        <v>0</v>
      </c>
      <c r="AN34" s="386">
        <f t="shared" si="25"/>
        <v>5.8188341132289628E-2</v>
      </c>
      <c r="AO34" s="386">
        <f t="shared" si="49"/>
        <v>3.0578831486257538</v>
      </c>
      <c r="AP34" s="386">
        <f t="shared" si="26"/>
        <v>1.7766233766233774E-2</v>
      </c>
      <c r="AQ34" s="386">
        <f t="shared" si="27"/>
        <v>3.3333333333333333E-2</v>
      </c>
      <c r="AR34" s="386">
        <f t="shared" si="28"/>
        <v>5.1281783931823553E-2</v>
      </c>
      <c r="AS34" s="386">
        <f t="shared" si="29"/>
        <v>0</v>
      </c>
      <c r="AT34" s="386">
        <f t="shared" si="30"/>
        <v>0</v>
      </c>
      <c r="AU34" s="386">
        <f t="shared" si="31"/>
        <v>7.3091334374999983E-2</v>
      </c>
      <c r="AV34" s="386">
        <f t="shared" si="32"/>
        <v>2.9144881092933012E-3</v>
      </c>
      <c r="AW34" s="386">
        <f t="shared" si="33"/>
        <v>0.59328000000000003</v>
      </c>
      <c r="AX34" s="386">
        <f t="shared" si="34"/>
        <v>3.6000000000000004E-2</v>
      </c>
      <c r="AY34" s="386">
        <f t="shared" si="35"/>
        <v>9.8999999999999977E-2</v>
      </c>
      <c r="AZ34" s="386">
        <f t="shared" si="36"/>
        <v>4.3499999999999997E-2</v>
      </c>
      <c r="BA34" s="386">
        <f t="shared" si="57"/>
        <v>0.13499999999999998</v>
      </c>
      <c r="BB34" s="386">
        <f t="shared" si="58"/>
        <v>1.0486166958764245</v>
      </c>
      <c r="BC34">
        <f t="shared" si="37"/>
        <v>36</v>
      </c>
      <c r="BD34" s="604">
        <f t="shared" si="51"/>
        <v>0.97169619841722354</v>
      </c>
      <c r="BE34" s="614">
        <f t="shared" si="38"/>
        <v>5.3214310909894813</v>
      </c>
      <c r="BF34" s="614">
        <f t="shared" si="39"/>
        <v>3.7700962137786771</v>
      </c>
      <c r="BG34" s="9"/>
      <c r="BH34" s="4">
        <f t="shared" si="52"/>
        <v>97.169619841722351</v>
      </c>
      <c r="BI34" s="386">
        <f t="shared" si="53"/>
        <v>3.2630073184979243E-2</v>
      </c>
      <c r="BJ34" s="386">
        <f t="shared" si="54"/>
        <v>0.28409083588085321</v>
      </c>
      <c r="BK34" s="386">
        <f t="shared" si="40"/>
        <v>0.10642862181978963</v>
      </c>
      <c r="BL34" s="386">
        <f t="shared" si="41"/>
        <v>7.5401924275573545E-2</v>
      </c>
      <c r="BM34" s="386">
        <f t="shared" si="55"/>
        <v>2.9144881092933012E-3</v>
      </c>
      <c r="BR34">
        <v>9.9986049999999995</v>
      </c>
      <c r="BS34">
        <v>0.83240000000000003</v>
      </c>
      <c r="BT34">
        <v>5.1231559999999998</v>
      </c>
      <c r="BU34">
        <v>91.678946361105133</v>
      </c>
      <c r="BV34">
        <v>387.05996035199956</v>
      </c>
    </row>
    <row r="35" spans="1:74" x14ac:dyDescent="0.2">
      <c r="A35" s="22" t="s">
        <v>158</v>
      </c>
      <c r="B35" s="5">
        <f>Iq*1000</f>
        <v>3</v>
      </c>
      <c r="C35" s="482" t="s">
        <v>68</v>
      </c>
      <c r="D35" s="21" t="s">
        <v>161</v>
      </c>
      <c r="G35">
        <v>26</v>
      </c>
      <c r="H35" s="610">
        <f t="shared" si="0"/>
        <v>12</v>
      </c>
      <c r="I35" s="4" t="str">
        <f t="shared" si="1"/>
        <v>BUCK-BST</v>
      </c>
      <c r="J35">
        <f t="shared" si="43"/>
        <v>3</v>
      </c>
      <c r="K35" s="386">
        <f t="shared" si="44"/>
        <v>3.12</v>
      </c>
      <c r="L35" s="4">
        <f t="shared" si="2"/>
        <v>3.4666666666666663</v>
      </c>
      <c r="M35" s="4">
        <f t="shared" si="56"/>
        <v>3.2415584415584417</v>
      </c>
      <c r="N35" s="386">
        <f t="shared" si="3"/>
        <v>0.96250000000000002</v>
      </c>
      <c r="O35" s="386">
        <f t="shared" si="4"/>
        <v>3.7499999999999943E-2</v>
      </c>
      <c r="P35" s="4">
        <f t="shared" si="5"/>
        <v>0</v>
      </c>
      <c r="Q35" s="4">
        <f t="shared" si="6"/>
        <v>3.2415584415584417</v>
      </c>
      <c r="R35" s="386">
        <f t="shared" si="7"/>
        <v>3.5300206422700091E-2</v>
      </c>
      <c r="S35" s="386">
        <f t="shared" si="45"/>
        <v>0</v>
      </c>
      <c r="T35" s="386">
        <f t="shared" si="46"/>
        <v>3.5300206422700091E-2</v>
      </c>
      <c r="U35" s="4">
        <f t="shared" si="8"/>
        <v>0.61584278648234336</v>
      </c>
      <c r="V35" s="386">
        <f t="shared" si="9"/>
        <v>7.5852467532467433E-4</v>
      </c>
      <c r="W35" s="386">
        <f t="shared" si="47"/>
        <v>7.5852467532467433E-4</v>
      </c>
      <c r="X35" s="4">
        <f t="shared" si="10"/>
        <v>0</v>
      </c>
      <c r="Y35" s="386">
        <f t="shared" si="11"/>
        <v>0</v>
      </c>
      <c r="Z35" s="603">
        <f t="shared" si="48"/>
        <v>0</v>
      </c>
      <c r="AA35" s="386">
        <f t="shared" si="12"/>
        <v>3.1801984745707839</v>
      </c>
      <c r="AB35" s="386">
        <f t="shared" si="13"/>
        <v>5.7647875324675343E-2</v>
      </c>
      <c r="AC35" s="386">
        <f t="shared" si="14"/>
        <v>1.6016590909090907E-2</v>
      </c>
      <c r="AD35" s="386">
        <f t="shared" si="15"/>
        <v>0</v>
      </c>
      <c r="AE35" s="386">
        <f t="shared" si="16"/>
        <v>7.4523692743367051E-2</v>
      </c>
      <c r="AF35" s="386">
        <f t="shared" si="17"/>
        <v>0.62772509299569546</v>
      </c>
      <c r="AG35" s="386">
        <f t="shared" si="18"/>
        <v>2.2460211165457908E-3</v>
      </c>
      <c r="AH35" s="386">
        <f t="shared" si="19"/>
        <v>3.1200000000000002E-2</v>
      </c>
      <c r="AI35" s="386">
        <f t="shared" si="20"/>
        <v>3.3461051962403676E-2</v>
      </c>
      <c r="AJ35" s="386">
        <f t="shared" si="21"/>
        <v>0.62772509299569512</v>
      </c>
      <c r="AK35" s="386">
        <f t="shared" si="22"/>
        <v>7.4867370551526279E-4</v>
      </c>
      <c r="AL35" s="386">
        <f t="shared" si="23"/>
        <v>5.7488094717986812E-2</v>
      </c>
      <c r="AM35" s="386">
        <f t="shared" si="24"/>
        <v>0</v>
      </c>
      <c r="AN35" s="386">
        <f t="shared" si="25"/>
        <v>5.8245489796837226E-2</v>
      </c>
      <c r="AO35" s="386">
        <f t="shared" si="49"/>
        <v>3.1801984745707839</v>
      </c>
      <c r="AP35" s="386">
        <f t="shared" si="26"/>
        <v>1.9215958441558448E-2</v>
      </c>
      <c r="AQ35" s="386">
        <f t="shared" si="27"/>
        <v>3.4666666666666665E-2</v>
      </c>
      <c r="AR35" s="386">
        <f t="shared" si="28"/>
        <v>5.4090505288566716E-2</v>
      </c>
      <c r="AS35" s="386">
        <f t="shared" si="29"/>
        <v>0</v>
      </c>
      <c r="AT35" s="386">
        <f t="shared" si="30"/>
        <v>0</v>
      </c>
      <c r="AU35" s="386">
        <f t="shared" si="31"/>
        <v>7.4033587259999978E-2</v>
      </c>
      <c r="AV35" s="386">
        <f t="shared" si="32"/>
        <v>3.1523103390116349E-3</v>
      </c>
      <c r="AW35" s="386">
        <f t="shared" si="33"/>
        <v>0.59328000000000003</v>
      </c>
      <c r="AX35" s="386">
        <f t="shared" si="34"/>
        <v>3.6000000000000004E-2</v>
      </c>
      <c r="AY35" s="386">
        <f t="shared" si="35"/>
        <v>9.8999999999999977E-2</v>
      </c>
      <c r="AZ35" s="386">
        <f t="shared" si="36"/>
        <v>4.3499999999999997E-2</v>
      </c>
      <c r="BA35" s="386">
        <f t="shared" si="57"/>
        <v>0.13499999999999998</v>
      </c>
      <c r="BB35" s="386">
        <f t="shared" si="58"/>
        <v>1.061845368488211</v>
      </c>
      <c r="BC35">
        <f t="shared" si="37"/>
        <v>37.44</v>
      </c>
      <c r="BD35" s="604">
        <f t="shared" si="51"/>
        <v>0.97242092272914071</v>
      </c>
      <c r="BE35" s="614">
        <f t="shared" si="38"/>
        <v>5.3553828694218613</v>
      </c>
      <c r="BF35" s="614">
        <f t="shared" si="39"/>
        <v>3.9260794542183355</v>
      </c>
      <c r="BG35" s="9"/>
      <c r="BH35" s="4">
        <f t="shared" si="52"/>
        <v>97.242092272914078</v>
      </c>
      <c r="BI35" s="386">
        <f t="shared" si="53"/>
        <v>3.5300206422700091E-2</v>
      </c>
      <c r="BJ35" s="386">
        <f t="shared" si="54"/>
        <v>0.29435432705117465</v>
      </c>
      <c r="BK35" s="386">
        <f t="shared" si="40"/>
        <v>0.10710765738843722</v>
      </c>
      <c r="BL35" s="386">
        <f t="shared" si="41"/>
        <v>7.8521589084366711E-2</v>
      </c>
      <c r="BM35" s="386">
        <f t="shared" si="55"/>
        <v>3.1523103390116349E-3</v>
      </c>
      <c r="BR35">
        <v>9.9986049999999995</v>
      </c>
      <c r="BS35">
        <v>1.0528999999999999</v>
      </c>
      <c r="BT35">
        <v>5.1218219999999999</v>
      </c>
      <c r="BU35">
        <v>92.889938966292178</v>
      </c>
      <c r="BV35">
        <v>412.77762981700039</v>
      </c>
    </row>
    <row r="36" spans="1:74" x14ac:dyDescent="0.2">
      <c r="A36" s="24" t="s">
        <v>766</v>
      </c>
      <c r="B36" s="15" t="s">
        <v>115</v>
      </c>
      <c r="C36" s="24" t="s">
        <v>80</v>
      </c>
      <c r="D36" s="17" t="s">
        <v>111</v>
      </c>
      <c r="G36">
        <v>27</v>
      </c>
      <c r="H36" s="610">
        <f t="shared" si="0"/>
        <v>12</v>
      </c>
      <c r="I36" s="4" t="str">
        <f t="shared" si="1"/>
        <v>BUCK-BST</v>
      </c>
      <c r="J36">
        <f t="shared" si="43"/>
        <v>3</v>
      </c>
      <c r="K36" s="386">
        <f t="shared" si="44"/>
        <v>3.24</v>
      </c>
      <c r="L36" s="4">
        <f t="shared" si="2"/>
        <v>3.6</v>
      </c>
      <c r="M36" s="4">
        <f t="shared" si="56"/>
        <v>3.3662337662337665</v>
      </c>
      <c r="N36" s="386">
        <f t="shared" si="3"/>
        <v>0.96250000000000002</v>
      </c>
      <c r="O36" s="386">
        <f t="shared" si="4"/>
        <v>3.7499999999999943E-2</v>
      </c>
      <c r="P36" s="4">
        <f t="shared" si="5"/>
        <v>0</v>
      </c>
      <c r="Q36" s="4">
        <f t="shared" si="6"/>
        <v>3.3662337662337665</v>
      </c>
      <c r="R36" s="386">
        <f t="shared" si="7"/>
        <v>3.8076256604959342E-2</v>
      </c>
      <c r="S36" s="386">
        <f t="shared" si="45"/>
        <v>0</v>
      </c>
      <c r="T36" s="386">
        <f t="shared" si="46"/>
        <v>3.8076256604959342E-2</v>
      </c>
      <c r="U36" s="4">
        <f t="shared" si="8"/>
        <v>0.63952904750089501</v>
      </c>
      <c r="V36" s="386">
        <f t="shared" si="9"/>
        <v>8.1799480519480412E-4</v>
      </c>
      <c r="W36" s="386">
        <f t="shared" si="47"/>
        <v>8.1799480519480412E-4</v>
      </c>
      <c r="X36" s="4">
        <f t="shared" si="10"/>
        <v>0</v>
      </c>
      <c r="Y36" s="386">
        <f t="shared" si="11"/>
        <v>0</v>
      </c>
      <c r="Z36" s="603">
        <f t="shared" si="48"/>
        <v>0</v>
      </c>
      <c r="AA36" s="386">
        <f t="shared" si="12"/>
        <v>3.3025138005158139</v>
      </c>
      <c r="AB36" s="386">
        <f t="shared" si="13"/>
        <v>6.2167605194805214E-2</v>
      </c>
      <c r="AC36" s="386">
        <f t="shared" si="14"/>
        <v>1.6632613636363636E-2</v>
      </c>
      <c r="AD36" s="386">
        <f t="shared" si="15"/>
        <v>0</v>
      </c>
      <c r="AE36" s="386">
        <f t="shared" si="16"/>
        <v>7.979231829949307E-2</v>
      </c>
      <c r="AF36" s="386">
        <f t="shared" si="17"/>
        <v>0.65186836580322227</v>
      </c>
      <c r="AG36" s="386">
        <f t="shared" si="18"/>
        <v>2.4221144881092925E-3</v>
      </c>
      <c r="AH36" s="386">
        <f t="shared" si="19"/>
        <v>3.2400000000000005E-2</v>
      </c>
      <c r="AI36" s="386">
        <f t="shared" si="20"/>
        <v>3.483899129322178E-2</v>
      </c>
      <c r="AJ36" s="386">
        <f t="shared" si="21"/>
        <v>0.65186836580322183</v>
      </c>
      <c r="AK36" s="386">
        <f t="shared" si="22"/>
        <v>8.0737149603642968E-4</v>
      </c>
      <c r="AL36" s="386">
        <f t="shared" si="23"/>
        <v>5.7488094717986812E-2</v>
      </c>
      <c r="AM36" s="386">
        <f t="shared" si="24"/>
        <v>0</v>
      </c>
      <c r="AN36" s="386">
        <f t="shared" si="25"/>
        <v>5.8304880953815627E-2</v>
      </c>
      <c r="AO36" s="386">
        <f t="shared" si="49"/>
        <v>3.3025138005158139</v>
      </c>
      <c r="AP36" s="386">
        <f t="shared" si="26"/>
        <v>2.0722535064935071E-2</v>
      </c>
      <c r="AQ36" s="386">
        <f t="shared" si="27"/>
        <v>3.6000000000000004E-2</v>
      </c>
      <c r="AR36" s="386">
        <f t="shared" si="28"/>
        <v>5.6958600383675138E-2</v>
      </c>
      <c r="AS36" s="386">
        <f t="shared" si="29"/>
        <v>0</v>
      </c>
      <c r="AT36" s="386">
        <f t="shared" si="30"/>
        <v>0</v>
      </c>
      <c r="AU36" s="386">
        <f t="shared" si="31"/>
        <v>7.4975732414999996E-2</v>
      </c>
      <c r="AV36" s="386">
        <f t="shared" si="32"/>
        <v>3.3994589306797066E-3</v>
      </c>
      <c r="AW36" s="386">
        <f t="shared" si="33"/>
        <v>0.59328000000000003</v>
      </c>
      <c r="AX36" s="386">
        <f t="shared" si="34"/>
        <v>3.6000000000000004E-2</v>
      </c>
      <c r="AY36" s="386">
        <f t="shared" si="35"/>
        <v>9.8999999999999977E-2</v>
      </c>
      <c r="AZ36" s="386">
        <f t="shared" si="36"/>
        <v>4.3499999999999997E-2</v>
      </c>
      <c r="BA36" s="386">
        <f t="shared" si="57"/>
        <v>0.13499999999999998</v>
      </c>
      <c r="BB36" s="386">
        <f t="shared" si="58"/>
        <v>1.0754442336860395</v>
      </c>
      <c r="BC36">
        <f t="shared" si="37"/>
        <v>38.880000000000003</v>
      </c>
      <c r="BD36" s="604">
        <f t="shared" si="51"/>
        <v>0.97308391248521409</v>
      </c>
      <c r="BE36" s="614">
        <f t="shared" si="38"/>
        <v>5.3894432173857805</v>
      </c>
      <c r="BF36" s="614">
        <f t="shared" si="39"/>
        <v>4.0850296040312566</v>
      </c>
      <c r="BG36" s="9"/>
      <c r="BH36" s="4">
        <f t="shared" si="52"/>
        <v>97.308391248521403</v>
      </c>
      <c r="BI36" s="386">
        <f t="shared" si="53"/>
        <v>3.8076256604959342E-2</v>
      </c>
      <c r="BJ36" s="386">
        <f t="shared" si="54"/>
        <v>0.30487052334520559</v>
      </c>
      <c r="BK36" s="386">
        <f t="shared" si="40"/>
        <v>0.10778886434771562</v>
      </c>
      <c r="BL36" s="386">
        <f t="shared" si="41"/>
        <v>8.1700592080625134E-2</v>
      </c>
      <c r="BM36" s="386">
        <f t="shared" si="55"/>
        <v>3.3994589306797066E-3</v>
      </c>
      <c r="BR36">
        <v>9.9986669999999993</v>
      </c>
      <c r="BS36">
        <v>1.3092999999999999</v>
      </c>
      <c r="BT36">
        <v>5.1195649999999997</v>
      </c>
      <c r="BU36">
        <v>93.690364214923264</v>
      </c>
      <c r="BV36">
        <v>451.42072788069993</v>
      </c>
    </row>
    <row r="37" spans="1:74" x14ac:dyDescent="0.2">
      <c r="A37" s="23" t="s">
        <v>75</v>
      </c>
      <c r="B37" s="5">
        <f>Rdson1*1000</f>
        <v>5.7</v>
      </c>
      <c r="C37" s="484" t="s">
        <v>674</v>
      </c>
      <c r="D37" s="482" t="s">
        <v>769</v>
      </c>
      <c r="G37">
        <v>28</v>
      </c>
      <c r="H37" s="610">
        <f t="shared" si="0"/>
        <v>12</v>
      </c>
      <c r="I37" s="4" t="str">
        <f t="shared" si="1"/>
        <v>BUCK-BST</v>
      </c>
      <c r="J37">
        <f t="shared" si="43"/>
        <v>3</v>
      </c>
      <c r="K37" s="386">
        <f t="shared" si="44"/>
        <v>3.36</v>
      </c>
      <c r="L37" s="4">
        <f t="shared" si="2"/>
        <v>3.7333333333333329</v>
      </c>
      <c r="M37" s="4">
        <f t="shared" si="56"/>
        <v>3.4909090909090907</v>
      </c>
      <c r="N37" s="386">
        <f t="shared" si="3"/>
        <v>0.96250000000000002</v>
      </c>
      <c r="O37" s="386">
        <f t="shared" si="4"/>
        <v>3.7499999999999943E-2</v>
      </c>
      <c r="P37" s="4">
        <f t="shared" si="5"/>
        <v>0</v>
      </c>
      <c r="Q37" s="4">
        <f t="shared" si="6"/>
        <v>3.4909090909090907</v>
      </c>
      <c r="R37" s="386">
        <f t="shared" si="7"/>
        <v>4.0958363730350049E-2</v>
      </c>
      <c r="S37" s="386">
        <f t="shared" si="45"/>
        <v>0</v>
      </c>
      <c r="T37" s="386">
        <f t="shared" si="46"/>
        <v>4.0958363730350049E-2</v>
      </c>
      <c r="U37" s="4">
        <f t="shared" si="8"/>
        <v>0.66321530851944666</v>
      </c>
      <c r="V37" s="386">
        <f t="shared" si="9"/>
        <v>8.7970909090908972E-4</v>
      </c>
      <c r="W37" s="386">
        <f t="shared" si="47"/>
        <v>8.7970909090908972E-4</v>
      </c>
      <c r="X37" s="4">
        <f t="shared" si="10"/>
        <v>0</v>
      </c>
      <c r="Y37" s="386">
        <f t="shared" si="11"/>
        <v>0</v>
      </c>
      <c r="Z37" s="603">
        <f t="shared" si="48"/>
        <v>0</v>
      </c>
      <c r="AA37" s="386">
        <f t="shared" si="12"/>
        <v>3.4248291264608439</v>
      </c>
      <c r="AB37" s="386">
        <f t="shared" si="13"/>
        <v>6.6857890909090931E-2</v>
      </c>
      <c r="AC37" s="386">
        <f t="shared" si="14"/>
        <v>1.7248636363636362E-2</v>
      </c>
      <c r="AD37" s="386">
        <f t="shared" si="15"/>
        <v>0</v>
      </c>
      <c r="AE37" s="386">
        <f t="shared" si="16"/>
        <v>8.5246406258735016E-2</v>
      </c>
      <c r="AF37" s="386">
        <f t="shared" si="17"/>
        <v>0.67601163861074898</v>
      </c>
      <c r="AG37" s="386">
        <f t="shared" si="18"/>
        <v>2.6048528925619822E-3</v>
      </c>
      <c r="AH37" s="386">
        <f t="shared" si="19"/>
        <v>3.3599999999999998E-2</v>
      </c>
      <c r="AI37" s="386">
        <f t="shared" si="20"/>
        <v>3.6223724387211859E-2</v>
      </c>
      <c r="AJ37" s="386">
        <f t="shared" si="21"/>
        <v>0.67601163861074853</v>
      </c>
      <c r="AK37" s="386">
        <f t="shared" si="22"/>
        <v>8.6828429752065968E-4</v>
      </c>
      <c r="AL37" s="386">
        <f t="shared" si="23"/>
        <v>5.7488094717986812E-2</v>
      </c>
      <c r="AM37" s="386">
        <f t="shared" si="24"/>
        <v>0</v>
      </c>
      <c r="AN37" s="386">
        <f t="shared" si="25"/>
        <v>5.8366514761161094E-2</v>
      </c>
      <c r="AO37" s="386">
        <f t="shared" si="49"/>
        <v>3.4248291264608439</v>
      </c>
      <c r="AP37" s="386">
        <f t="shared" si="26"/>
        <v>2.2285963636363641E-2</v>
      </c>
      <c r="AQ37" s="386">
        <f t="shared" si="27"/>
        <v>3.7333333333333329E-2</v>
      </c>
      <c r="AR37" s="386">
        <f t="shared" si="28"/>
        <v>5.9886221400185721E-2</v>
      </c>
      <c r="AS37" s="386">
        <f t="shared" si="29"/>
        <v>0</v>
      </c>
      <c r="AT37" s="386">
        <f t="shared" si="30"/>
        <v>0</v>
      </c>
      <c r="AU37" s="386">
        <f t="shared" si="31"/>
        <v>7.5917769839999982E-2</v>
      </c>
      <c r="AV37" s="386">
        <f t="shared" si="32"/>
        <v>3.6559338842975168E-3</v>
      </c>
      <c r="AW37" s="386">
        <f t="shared" si="33"/>
        <v>0.59328000000000003</v>
      </c>
      <c r="AX37" s="386">
        <f t="shared" si="34"/>
        <v>3.6000000000000004E-2</v>
      </c>
      <c r="AY37" s="386">
        <f t="shared" si="35"/>
        <v>9.8999999999999977E-2</v>
      </c>
      <c r="AZ37" s="386">
        <f t="shared" si="36"/>
        <v>4.3499999999999997E-2</v>
      </c>
      <c r="BA37" s="386">
        <f t="shared" si="57"/>
        <v>0.13499999999999998</v>
      </c>
      <c r="BB37" s="386">
        <f t="shared" si="58"/>
        <v>1.0894146433528502</v>
      </c>
      <c r="BC37">
        <f t="shared" si="37"/>
        <v>40.32</v>
      </c>
      <c r="BD37" s="604">
        <f t="shared" si="51"/>
        <v>0.97369161933981285</v>
      </c>
      <c r="BE37" s="614">
        <f t="shared" si="38"/>
        <v>5.4236121427780546</v>
      </c>
      <c r="BF37" s="614">
        <f t="shared" si="39"/>
        <v>4.246954272369285</v>
      </c>
      <c r="BG37" s="9"/>
      <c r="BH37" s="4">
        <f t="shared" si="52"/>
        <v>97.369161933981289</v>
      </c>
      <c r="BI37" s="386">
        <f t="shared" si="53"/>
        <v>4.0958363730350049E-2</v>
      </c>
      <c r="BJ37" s="386">
        <f t="shared" si="54"/>
        <v>0.31564063664729369</v>
      </c>
      <c r="BK37" s="386">
        <f t="shared" si="40"/>
        <v>0.10847224285556109</v>
      </c>
      <c r="BL37" s="386">
        <f t="shared" si="41"/>
        <v>8.4939085447385709E-2</v>
      </c>
      <c r="BM37" s="386">
        <f t="shared" si="55"/>
        <v>3.6559338842975168E-3</v>
      </c>
      <c r="BR37">
        <v>9.9985429999999997</v>
      </c>
      <c r="BS37">
        <v>1.6020000000000001</v>
      </c>
      <c r="BT37">
        <v>5.1182809999999996</v>
      </c>
      <c r="BU37">
        <v>93.864473327748414</v>
      </c>
      <c r="BV37">
        <v>535.96589716749952</v>
      </c>
    </row>
    <row r="38" spans="1:74" x14ac:dyDescent="0.2">
      <c r="A38" s="22" t="s">
        <v>83</v>
      </c>
      <c r="B38" s="5">
        <f>RdsonTopTc*1000000</f>
        <v>4000</v>
      </c>
      <c r="C38" s="482" t="s">
        <v>85</v>
      </c>
      <c r="D38" s="21" t="s">
        <v>113</v>
      </c>
      <c r="G38">
        <v>29</v>
      </c>
      <c r="H38" s="610">
        <f t="shared" si="0"/>
        <v>12</v>
      </c>
      <c r="I38" s="4" t="str">
        <f t="shared" si="1"/>
        <v>BUCK-BST</v>
      </c>
      <c r="J38">
        <f t="shared" si="43"/>
        <v>3</v>
      </c>
      <c r="K38" s="386">
        <f t="shared" si="44"/>
        <v>3.48</v>
      </c>
      <c r="L38" s="4">
        <f t="shared" si="2"/>
        <v>3.8666666666666663</v>
      </c>
      <c r="M38" s="4">
        <f t="shared" si="56"/>
        <v>3.6155844155844155</v>
      </c>
      <c r="N38" s="386">
        <f t="shared" si="3"/>
        <v>0.96250000000000002</v>
      </c>
      <c r="O38" s="386">
        <f t="shared" si="4"/>
        <v>3.7499999999999943E-2</v>
      </c>
      <c r="P38" s="4">
        <f t="shared" si="5"/>
        <v>0</v>
      </c>
      <c r="Q38" s="4">
        <f t="shared" si="6"/>
        <v>3.6155844155844155</v>
      </c>
      <c r="R38" s="386">
        <f t="shared" si="7"/>
        <v>4.3946673244231738E-2</v>
      </c>
      <c r="S38" s="386">
        <f t="shared" si="45"/>
        <v>0</v>
      </c>
      <c r="T38" s="386">
        <f t="shared" si="46"/>
        <v>4.3946673244231738E-2</v>
      </c>
      <c r="U38" s="4">
        <f t="shared" si="8"/>
        <v>0.6869015695379983</v>
      </c>
      <c r="V38" s="386">
        <f t="shared" si="9"/>
        <v>9.4366753246753103E-4</v>
      </c>
      <c r="W38" s="386">
        <f t="shared" si="47"/>
        <v>9.4366753246753103E-4</v>
      </c>
      <c r="X38" s="4">
        <f t="shared" si="10"/>
        <v>0</v>
      </c>
      <c r="Y38" s="386">
        <f t="shared" si="11"/>
        <v>0</v>
      </c>
      <c r="Z38" s="603">
        <f t="shared" si="48"/>
        <v>0</v>
      </c>
      <c r="AA38" s="386">
        <f t="shared" si="12"/>
        <v>3.5471444524058739</v>
      </c>
      <c r="AB38" s="386">
        <f t="shared" si="13"/>
        <v>7.1718732467532478E-2</v>
      </c>
      <c r="AC38" s="386">
        <f t="shared" si="14"/>
        <v>1.7864659090909091E-2</v>
      </c>
      <c r="AD38" s="386">
        <f t="shared" si="15"/>
        <v>0</v>
      </c>
      <c r="AE38" s="386">
        <f t="shared" si="16"/>
        <v>9.0887052397574414E-2</v>
      </c>
      <c r="AF38" s="386">
        <f t="shared" si="17"/>
        <v>0.70015491141827568</v>
      </c>
      <c r="AG38" s="386">
        <f t="shared" si="18"/>
        <v>2.7942363299038606E-3</v>
      </c>
      <c r="AH38" s="386">
        <f t="shared" si="19"/>
        <v>3.4799999999999998E-2</v>
      </c>
      <c r="AI38" s="386">
        <f t="shared" si="20"/>
        <v>3.7615257513724562E-2</v>
      </c>
      <c r="AJ38" s="386">
        <f t="shared" si="21"/>
        <v>0.70015491141827524</v>
      </c>
      <c r="AK38" s="386">
        <f t="shared" si="22"/>
        <v>9.3141210996795234E-4</v>
      </c>
      <c r="AL38" s="386">
        <f t="shared" si="23"/>
        <v>5.7488094717986812E-2</v>
      </c>
      <c r="AM38" s="386">
        <f t="shared" si="24"/>
        <v>0</v>
      </c>
      <c r="AN38" s="386">
        <f t="shared" si="25"/>
        <v>5.8430391382779584E-2</v>
      </c>
      <c r="AO38" s="386">
        <f t="shared" si="49"/>
        <v>3.5471444524058739</v>
      </c>
      <c r="AP38" s="386">
        <f t="shared" si="26"/>
        <v>2.3906244155844157E-2</v>
      </c>
      <c r="AQ38" s="386">
        <f t="shared" si="27"/>
        <v>3.8666666666666662E-2</v>
      </c>
      <c r="AR38" s="386">
        <f t="shared" si="28"/>
        <v>6.2873524789421709E-2</v>
      </c>
      <c r="AS38" s="386">
        <f t="shared" si="29"/>
        <v>0</v>
      </c>
      <c r="AT38" s="386">
        <f t="shared" si="30"/>
        <v>0</v>
      </c>
      <c r="AU38" s="386">
        <f t="shared" si="31"/>
        <v>7.6859699534999992E-2</v>
      </c>
      <c r="AV38" s="386">
        <f t="shared" si="32"/>
        <v>3.9217351998650646E-3</v>
      </c>
      <c r="AW38" s="386">
        <f t="shared" si="33"/>
        <v>0.59328000000000003</v>
      </c>
      <c r="AX38" s="386">
        <f t="shared" si="34"/>
        <v>3.6000000000000004E-2</v>
      </c>
      <c r="AY38" s="386">
        <f t="shared" si="35"/>
        <v>9.8999999999999977E-2</v>
      </c>
      <c r="AZ38" s="386">
        <f t="shared" si="36"/>
        <v>4.3499999999999997E-2</v>
      </c>
      <c r="BA38" s="386">
        <f t="shared" si="57"/>
        <v>0.13499999999999998</v>
      </c>
      <c r="BB38" s="386">
        <f t="shared" si="58"/>
        <v>1.1037580015950645</v>
      </c>
      <c r="BC38">
        <f t="shared" si="37"/>
        <v>41.76</v>
      </c>
      <c r="BD38" s="604">
        <f t="shared" si="51"/>
        <v>0.97424962128719583</v>
      </c>
      <c r="BE38" s="614">
        <f t="shared" si="38"/>
        <v>5.4578896537939787</v>
      </c>
      <c r="BF38" s="614">
        <f t="shared" si="39"/>
        <v>4.4118612817985854</v>
      </c>
      <c r="BG38" s="9"/>
      <c r="BH38" s="4">
        <f t="shared" si="52"/>
        <v>97.424962128719585</v>
      </c>
      <c r="BI38" s="386">
        <f t="shared" si="53"/>
        <v>4.3946673244231738E-2</v>
      </c>
      <c r="BJ38" s="386">
        <f t="shared" si="54"/>
        <v>0.32666592561850027</v>
      </c>
      <c r="BK38" s="386">
        <f t="shared" si="40"/>
        <v>0.10915779307587958</v>
      </c>
      <c r="BL38" s="386">
        <f t="shared" si="41"/>
        <v>8.8237225635971708E-2</v>
      </c>
      <c r="BM38" s="386">
        <f t="shared" si="55"/>
        <v>3.9217351998650646E-3</v>
      </c>
      <c r="BR38">
        <v>9.9985429999999997</v>
      </c>
      <c r="BS38">
        <v>1.9350000000000001</v>
      </c>
      <c r="BT38">
        <v>5.117146</v>
      </c>
      <c r="BU38">
        <v>94.224527198076927</v>
      </c>
      <c r="BV38">
        <v>606.92116405899924</v>
      </c>
    </row>
    <row r="39" spans="1:74" x14ac:dyDescent="0.2">
      <c r="A39" s="23" t="s">
        <v>74</v>
      </c>
      <c r="B39" s="5">
        <f>Qg_Q1*1000000000</f>
        <v>11</v>
      </c>
      <c r="C39" s="482" t="s">
        <v>69</v>
      </c>
      <c r="D39" s="21" t="s">
        <v>103</v>
      </c>
      <c r="G39">
        <v>30</v>
      </c>
      <c r="H39" s="610">
        <f t="shared" si="0"/>
        <v>12</v>
      </c>
      <c r="I39" s="4" t="str">
        <f t="shared" si="1"/>
        <v>BUCK-BST</v>
      </c>
      <c r="J39">
        <f t="shared" si="43"/>
        <v>3</v>
      </c>
      <c r="K39" s="386">
        <f t="shared" si="44"/>
        <v>3.6</v>
      </c>
      <c r="L39" s="4">
        <f t="shared" si="2"/>
        <v>4</v>
      </c>
      <c r="M39" s="4">
        <f t="shared" si="56"/>
        <v>3.7402597402597402</v>
      </c>
      <c r="N39" s="386">
        <f t="shared" si="3"/>
        <v>0.96250000000000002</v>
      </c>
      <c r="O39" s="386">
        <f t="shared" si="4"/>
        <v>3.7499999999999943E-2</v>
      </c>
      <c r="P39" s="4">
        <f t="shared" si="5"/>
        <v>0</v>
      </c>
      <c r="Q39" s="4">
        <f t="shared" si="6"/>
        <v>3.7402597402597402</v>
      </c>
      <c r="R39" s="386">
        <f t="shared" si="7"/>
        <v>4.7041336057157004E-2</v>
      </c>
      <c r="S39" s="386">
        <f t="shared" si="45"/>
        <v>0</v>
      </c>
      <c r="T39" s="386">
        <f t="shared" si="46"/>
        <v>4.7041336057157004E-2</v>
      </c>
      <c r="U39" s="4">
        <f t="shared" si="8"/>
        <v>0.71058783055654995</v>
      </c>
      <c r="V39" s="386">
        <f t="shared" si="9"/>
        <v>1.0098701298701283E-3</v>
      </c>
      <c r="W39" s="386">
        <f t="shared" si="47"/>
        <v>1.0098701298701283E-3</v>
      </c>
      <c r="X39" s="4">
        <f t="shared" si="10"/>
        <v>0</v>
      </c>
      <c r="Y39" s="386">
        <f t="shared" si="11"/>
        <v>0</v>
      </c>
      <c r="Z39" s="603">
        <f t="shared" si="48"/>
        <v>0</v>
      </c>
      <c r="AA39" s="386">
        <f t="shared" si="12"/>
        <v>3.669459778350904</v>
      </c>
      <c r="AB39" s="386">
        <f t="shared" si="13"/>
        <v>7.6750129870129885E-2</v>
      </c>
      <c r="AC39" s="386">
        <f t="shared" si="14"/>
        <v>1.8480681818181816E-2</v>
      </c>
      <c r="AD39" s="386">
        <f t="shared" si="15"/>
        <v>0</v>
      </c>
      <c r="AE39" s="386">
        <f t="shared" si="16"/>
        <v>9.6715395521657338E-2</v>
      </c>
      <c r="AF39" s="386">
        <f t="shared" si="17"/>
        <v>0.72429818422580239</v>
      </c>
      <c r="AG39" s="386">
        <f t="shared" si="18"/>
        <v>2.9902648001349278E-3</v>
      </c>
      <c r="AH39" s="386">
        <f t="shared" si="19"/>
        <v>3.6000000000000004E-2</v>
      </c>
      <c r="AI39" s="386">
        <f t="shared" si="20"/>
        <v>3.9013596997300469E-2</v>
      </c>
      <c r="AJ39" s="386">
        <f t="shared" si="21"/>
        <v>0.72429818422580206</v>
      </c>
      <c r="AK39" s="386">
        <f t="shared" si="22"/>
        <v>9.9675493337830832E-4</v>
      </c>
      <c r="AL39" s="386">
        <f t="shared" si="23"/>
        <v>5.7488094717986812E-2</v>
      </c>
      <c r="AM39" s="386">
        <f t="shared" si="24"/>
        <v>0</v>
      </c>
      <c r="AN39" s="386">
        <f t="shared" si="25"/>
        <v>5.8496510988547773E-2</v>
      </c>
      <c r="AO39" s="386">
        <f t="shared" si="49"/>
        <v>3.669459778350904</v>
      </c>
      <c r="AP39" s="386">
        <f t="shared" si="26"/>
        <v>2.5583376623376626E-2</v>
      </c>
      <c r="AQ39" s="386">
        <f t="shared" si="27"/>
        <v>0.04</v>
      </c>
      <c r="AR39" s="386">
        <f t="shared" si="28"/>
        <v>6.5920671295580754E-2</v>
      </c>
      <c r="AS39" s="386">
        <f t="shared" si="29"/>
        <v>0</v>
      </c>
      <c r="AT39" s="386">
        <f t="shared" si="30"/>
        <v>0</v>
      </c>
      <c r="AU39" s="386">
        <f t="shared" si="31"/>
        <v>7.7801521499999998E-2</v>
      </c>
      <c r="AV39" s="386">
        <f t="shared" si="32"/>
        <v>4.1968628773823525E-3</v>
      </c>
      <c r="AW39" s="386">
        <f t="shared" si="33"/>
        <v>0.59328000000000003</v>
      </c>
      <c r="AX39" s="386">
        <f t="shared" si="34"/>
        <v>3.6000000000000004E-2</v>
      </c>
      <c r="AY39" s="386">
        <f t="shared" si="35"/>
        <v>9.8999999999999977E-2</v>
      </c>
      <c r="AZ39" s="386">
        <f t="shared" si="36"/>
        <v>4.3499999999999997E-2</v>
      </c>
      <c r="BA39" s="386">
        <f t="shared" si="57"/>
        <v>0.13499999999999998</v>
      </c>
      <c r="BB39" s="386">
        <f t="shared" si="58"/>
        <v>1.1184757653674957</v>
      </c>
      <c r="BC39">
        <f t="shared" si="37"/>
        <v>43.2</v>
      </c>
      <c r="BD39" s="604">
        <f t="shared" si="51"/>
        <v>0.97476276550464036</v>
      </c>
      <c r="BE39" s="614">
        <f t="shared" si="38"/>
        <v>5.4922757589273878</v>
      </c>
      <c r="BF39" s="614">
        <f t="shared" si="39"/>
        <v>4.5797586695290375</v>
      </c>
      <c r="BG39" s="9"/>
      <c r="BH39" s="4">
        <f t="shared" si="52"/>
        <v>97.476276550464036</v>
      </c>
      <c r="BI39" s="386">
        <f t="shared" si="53"/>
        <v>4.7041336057157004E-2</v>
      </c>
      <c r="BJ39" s="386">
        <f t="shared" si="54"/>
        <v>0.3379476963030863</v>
      </c>
      <c r="BK39" s="386">
        <f t="shared" si="40"/>
        <v>0.10984551517854776</v>
      </c>
      <c r="BL39" s="386">
        <f t="shared" si="41"/>
        <v>9.159517339058075E-2</v>
      </c>
      <c r="BM39" s="386">
        <f t="shared" si="55"/>
        <v>4.1968628773823525E-3</v>
      </c>
      <c r="BR39">
        <v>9.9985060000000008</v>
      </c>
      <c r="BS39">
        <v>2.31</v>
      </c>
      <c r="BT39">
        <v>5.1166349999999996</v>
      </c>
      <c r="BU39">
        <v>94.492663502717292</v>
      </c>
      <c r="BV39">
        <v>688.87413060200208</v>
      </c>
    </row>
    <row r="40" spans="1:74" x14ac:dyDescent="0.2">
      <c r="A40" s="23" t="s">
        <v>130</v>
      </c>
      <c r="B40" s="5">
        <f>Qgd_Q1*1000000000</f>
        <v>2.9</v>
      </c>
      <c r="C40" s="482" t="s">
        <v>69</v>
      </c>
      <c r="D40" s="21" t="s">
        <v>131</v>
      </c>
      <c r="G40">
        <v>31</v>
      </c>
      <c r="H40" s="610">
        <f t="shared" si="0"/>
        <v>12</v>
      </c>
      <c r="I40" s="4" t="str">
        <f t="shared" si="1"/>
        <v>BUCK-BST</v>
      </c>
      <c r="J40">
        <f t="shared" si="43"/>
        <v>3</v>
      </c>
      <c r="K40" s="386">
        <f t="shared" si="44"/>
        <v>3.72</v>
      </c>
      <c r="L40" s="4">
        <f t="shared" si="2"/>
        <v>4.1333333333333329</v>
      </c>
      <c r="M40" s="4">
        <f t="shared" si="56"/>
        <v>3.8649350649350649</v>
      </c>
      <c r="N40" s="386">
        <f t="shared" si="3"/>
        <v>0.96250000000000002</v>
      </c>
      <c r="O40" s="386">
        <f t="shared" si="4"/>
        <v>3.7499999999999943E-2</v>
      </c>
      <c r="P40" s="4">
        <f t="shared" si="5"/>
        <v>0</v>
      </c>
      <c r="Q40" s="4">
        <f t="shared" si="6"/>
        <v>3.8649350649350649</v>
      </c>
      <c r="R40" s="386">
        <f t="shared" si="7"/>
        <v>5.0242508564009872E-2</v>
      </c>
      <c r="S40" s="386">
        <f t="shared" si="45"/>
        <v>0</v>
      </c>
      <c r="T40" s="386">
        <f t="shared" si="46"/>
        <v>5.0242508564009872E-2</v>
      </c>
      <c r="U40" s="4">
        <f t="shared" si="8"/>
        <v>0.73427409157510171</v>
      </c>
      <c r="V40" s="386">
        <f t="shared" si="9"/>
        <v>1.0783168831168817E-3</v>
      </c>
      <c r="W40" s="386">
        <f t="shared" si="47"/>
        <v>1.0783168831168817E-3</v>
      </c>
      <c r="X40" s="4">
        <f t="shared" si="10"/>
        <v>0</v>
      </c>
      <c r="Y40" s="386">
        <f t="shared" si="11"/>
        <v>0</v>
      </c>
      <c r="Z40" s="603">
        <f t="shared" si="48"/>
        <v>0</v>
      </c>
      <c r="AA40" s="386">
        <f t="shared" si="12"/>
        <v>3.7917751042959345</v>
      </c>
      <c r="AB40" s="386">
        <f t="shared" si="13"/>
        <v>8.1952083116883137E-2</v>
      </c>
      <c r="AC40" s="386">
        <f t="shared" si="14"/>
        <v>1.9096704545454545E-2</v>
      </c>
      <c r="AD40" s="386">
        <f t="shared" si="15"/>
        <v>0</v>
      </c>
      <c r="AE40" s="386">
        <f t="shared" si="16"/>
        <v>0.10273261807337046</v>
      </c>
      <c r="AF40" s="386">
        <f t="shared" si="17"/>
        <v>0.7484414570333292</v>
      </c>
      <c r="AG40" s="386">
        <f t="shared" si="18"/>
        <v>3.1929383032551846E-3</v>
      </c>
      <c r="AH40" s="386">
        <f t="shared" si="19"/>
        <v>3.7200000000000004E-2</v>
      </c>
      <c r="AI40" s="386">
        <f t="shared" si="20"/>
        <v>4.0418749217764602E-2</v>
      </c>
      <c r="AJ40" s="386">
        <f t="shared" si="21"/>
        <v>0.74844145703332876</v>
      </c>
      <c r="AK40" s="386">
        <f t="shared" si="22"/>
        <v>1.064312767751727E-3</v>
      </c>
      <c r="AL40" s="386">
        <f t="shared" si="23"/>
        <v>5.7488094717986812E-2</v>
      </c>
      <c r="AM40" s="386">
        <f t="shared" si="24"/>
        <v>0</v>
      </c>
      <c r="AN40" s="386">
        <f t="shared" si="25"/>
        <v>5.8564873754314239E-2</v>
      </c>
      <c r="AO40" s="386">
        <f t="shared" si="49"/>
        <v>3.7917751042959345</v>
      </c>
      <c r="AP40" s="386">
        <f t="shared" si="26"/>
        <v>2.7317361038961045E-2</v>
      </c>
      <c r="AQ40" s="386">
        <f t="shared" si="27"/>
        <v>4.1333333333333326E-2</v>
      </c>
      <c r="AR40" s="386">
        <f t="shared" si="28"/>
        <v>6.9027825981106461E-2</v>
      </c>
      <c r="AS40" s="386">
        <f t="shared" si="29"/>
        <v>0</v>
      </c>
      <c r="AT40" s="386">
        <f t="shared" si="30"/>
        <v>0</v>
      </c>
      <c r="AU40" s="386">
        <f t="shared" si="31"/>
        <v>7.8743235734999986E-2</v>
      </c>
      <c r="AV40" s="386">
        <f t="shared" si="32"/>
        <v>4.4813169168493793E-3</v>
      </c>
      <c r="AW40" s="386">
        <f t="shared" si="33"/>
        <v>0.59328000000000003</v>
      </c>
      <c r="AX40" s="386">
        <f t="shared" si="34"/>
        <v>3.6000000000000004E-2</v>
      </c>
      <c r="AY40" s="386">
        <f t="shared" si="35"/>
        <v>9.8999999999999977E-2</v>
      </c>
      <c r="AZ40" s="386">
        <f t="shared" si="36"/>
        <v>4.3499999999999997E-2</v>
      </c>
      <c r="BA40" s="386">
        <f t="shared" si="57"/>
        <v>0.13499999999999998</v>
      </c>
      <c r="BB40" s="386">
        <f t="shared" si="58"/>
        <v>1.133569445125532</v>
      </c>
      <c r="BC40">
        <f t="shared" si="37"/>
        <v>44.64</v>
      </c>
      <c r="BD40" s="604">
        <f t="shared" si="51"/>
        <v>0.97523528405438253</v>
      </c>
      <c r="BE40" s="614">
        <f t="shared" si="38"/>
        <v>5.5267704669707118</v>
      </c>
      <c r="BF40" s="614">
        <f t="shared" si="39"/>
        <v>4.7506546886828236</v>
      </c>
      <c r="BG40" s="9"/>
      <c r="BH40" s="4">
        <f t="shared" si="52"/>
        <v>97.523528405438256</v>
      </c>
      <c r="BI40" s="386">
        <f t="shared" si="53"/>
        <v>5.0242508564009872E-2</v>
      </c>
      <c r="BJ40" s="386">
        <f t="shared" si="54"/>
        <v>0.34948730276155571</v>
      </c>
      <c r="BK40" s="386">
        <f t="shared" si="40"/>
        <v>0.11053540933941423</v>
      </c>
      <c r="BL40" s="386">
        <f t="shared" si="41"/>
        <v>9.5013093773656465E-2</v>
      </c>
      <c r="BM40" s="386">
        <f t="shared" si="55"/>
        <v>4.4813169168493793E-3</v>
      </c>
      <c r="BR40">
        <v>9.9984319999999993</v>
      </c>
      <c r="BS40">
        <v>2.7269999999999999</v>
      </c>
      <c r="BT40">
        <v>5.115812</v>
      </c>
      <c r="BU40">
        <v>94.558770424517263</v>
      </c>
      <c r="BV40">
        <v>802.77694931200062</v>
      </c>
    </row>
    <row r="41" spans="1:74" x14ac:dyDescent="0.2">
      <c r="A41" s="23" t="s">
        <v>148</v>
      </c>
      <c r="B41" s="5">
        <f>Qgs_Q1*1000000000</f>
        <v>3.3</v>
      </c>
      <c r="C41" s="482" t="s">
        <v>69</v>
      </c>
      <c r="D41" s="21"/>
      <c r="G41">
        <v>32</v>
      </c>
      <c r="H41" s="610">
        <f t="shared" ref="H41:H72" si="59">Vin</f>
        <v>12</v>
      </c>
      <c r="I41" s="4" t="str">
        <f t="shared" ref="I41:I72" si="60">IF(H41&gt;VIN_BB_to_buck, "BUCK", IF(H41&lt;VIN_boost_to_BB,"BOOST","BUCK-BST"))</f>
        <v>BUCK-BST</v>
      </c>
      <c r="J41">
        <f t="shared" si="43"/>
        <v>3</v>
      </c>
      <c r="K41" s="386">
        <f t="shared" si="44"/>
        <v>3.84</v>
      </c>
      <c r="L41" s="4">
        <f t="shared" ref="L41:L72" si="61">Vout*K41/(Vin*Efficiency)</f>
        <v>4.2666666666666666</v>
      </c>
      <c r="M41" s="4">
        <f t="shared" si="56"/>
        <v>3.9896103896103892</v>
      </c>
      <c r="N41" s="386">
        <f t="shared" ref="N41:N72" si="62">CHOOSE(J41,(Vout+(Rdson2+Rs+Rdcr)*K41)/(Vin+(Rs+Rdson2-Rdson1)*K41), 1, IF(Vin&lt;Vout, D_max_buck_BB, Vout/Vin*(1-D_min_boost_exitBB_to_buck)))</f>
        <v>0.96250000000000002</v>
      </c>
      <c r="O41" s="386">
        <f t="shared" ref="O41:O72" si="63">CHOOSE(J41,0,(Vout+(Rdson3+Rdcr)*L41-Vin)/(Vout+(Rdson3-Rdson4-Rs)*L41), IF(Vin&gt;Vout,D_min_boost_exitBB_to_buck, (Vout-Vin*D_max_buck_BB)/Vout))</f>
        <v>3.7499999999999943E-2</v>
      </c>
      <c r="P41" s="4">
        <f t="shared" ref="P41:P72" si="64">MAX(0, CHOOSE(J41, (Vin-(Rdson1+Rdcr)*K41-Vout)*N41/(Fsw*Lf), (Vin-(Rdson4+Rdcr+Rs)*L41)*O41/(Fsw*Lf), IF(Vin&lt;Vout, (Vin-(Rdson4+Rdcr+Rs)*L41)*O41/(0.5*Fsw*Lf),(Vin-(Rdson1+Rdcr)*K41-Vout)*N41/(0.5*Fsw*Lf))))</f>
        <v>0</v>
      </c>
      <c r="Q41" s="4">
        <f t="shared" ref="Q41:Q72" si="65">CHOOSE(J41, SQRT(K41^2+(P41^2)/12), SQRT(L41^2+(P41^2)/12), SQRT(M41^2+(P41^2)/12))</f>
        <v>3.9896103896103892</v>
      </c>
      <c r="R41" s="386">
        <f t="shared" si="7"/>
        <v>5.3550352663860344E-2</v>
      </c>
      <c r="S41" s="386">
        <f t="shared" si="45"/>
        <v>0</v>
      </c>
      <c r="T41" s="386">
        <f t="shared" si="46"/>
        <v>5.3550352663860344E-2</v>
      </c>
      <c r="U41" s="4">
        <f t="shared" ref="U41:U72" si="66">IF(Vin&gt;Vout, P41/SQRT(12), SQRT(O41/(1-O41))*SQRT(K41^2+(P41^2)/12))</f>
        <v>0.75796035259365324</v>
      </c>
      <c r="V41" s="386">
        <f t="shared" si="9"/>
        <v>1.1490077922077903E-3</v>
      </c>
      <c r="W41" s="386">
        <f t="shared" si="47"/>
        <v>1.1490077922077903E-3</v>
      </c>
      <c r="X41" s="4">
        <f t="shared" ref="X41:X72" si="67">IF(Vin&gt;Vout, SQRT(N41*(1-N41))*SQRT(K41^2+(P41^2)/12), P41/SQRT(12))</f>
        <v>0</v>
      </c>
      <c r="Y41" s="386">
        <f t="shared" si="11"/>
        <v>0</v>
      </c>
      <c r="Z41" s="603">
        <f t="shared" si="48"/>
        <v>0</v>
      </c>
      <c r="AA41" s="386">
        <f t="shared" ref="AA41:AA72" si="68">CHOOSE(J41, SQRT(N41)*SQRT(K41^2+(P41^2)/12), SQRT(L41^2+(P41^2)/12), SQRT(N41)*SQRT(M41^2+(P41^2)/12))</f>
        <v>3.914090430240964</v>
      </c>
      <c r="AB41" s="386">
        <f t="shared" ref="AB41:AB72" si="69">Rdson1*AA41^2</f>
        <v>8.7324592207792207E-2</v>
      </c>
      <c r="AC41" s="386">
        <f t="shared" ref="AC41:AC72" si="70">CHOOSE(J41, (Vin*K41/2)*(Fsw)*(Tr_buck+Tf_buck), 0, (Vin*K41/2)*(Fsw/2)*(Tr_buck+Tf_buck))</f>
        <v>1.9712727272727271E-2</v>
      </c>
      <c r="AD41" s="386">
        <f t="shared" ref="AD41:AD72" si="71">CHOOSE(J41, IF(K41&gt;P41/2,0,ABS(K41-P41/2)*Vsd_Q1*Deadtime*Fsw),0, IF(K41&gt;P41/2,0,ABS(K41-P41/2)*Vsd_Q1*Deadtime*Fsw/2))</f>
        <v>0</v>
      </c>
      <c r="AE41" s="386">
        <f t="shared" ref="AE41:AE72" si="72">(AD41+AC41+AB41*(1+RdsonTopTc*Ta-RdsonTopTc*25))/(1-AB41*RdsonTopTc*ThetaJA_Q1)</f>
        <v>0.1089399467658121</v>
      </c>
      <c r="AF41" s="386">
        <f t="shared" ref="AF41:AF72" si="73">CHOOSE(J41, SQRT((1-N41))*SQRT(K41^2+(P41^2)/12), 0, SQRT((1-N41))*SQRT(M41^2+(P41^2)/12))</f>
        <v>0.77258472984085591</v>
      </c>
      <c r="AG41" s="386">
        <f t="shared" ref="AG41:AG72" si="74">Rdson2*AF41^2</f>
        <v>3.4022568392646294E-3</v>
      </c>
      <c r="AH41" s="386">
        <f t="shared" ref="AH41:AH72" si="75">CHOOSE(J41, IF(K41&lt;P41/2,Deadtime*Fsw*IF(VfdSky_Q2&gt;0,0,Vsd_Q2)*(K41+P41/2),2*Deadtime*Fsw*IF(VfdSky_Q2&gt;0,0,Vsd_Q2)*K41),0, IF(K41&lt;P41/2,Deadtime*Fsw/2*IF(VfdSky_Q2&gt;0,0,Vsd_Q2)*(K41+P41/2),2*Deadtime*Fsw/2*IF(VfdSky_Q2&gt;0,0,Vsd_Q2)*K41))</f>
        <v>3.8399999999999997E-2</v>
      </c>
      <c r="AI41" s="386">
        <f t="shared" ref="AI41:AI72" si="76">(AH41+AG41*(1+RdsonBotTc*Ta-RdsonBotTc*25))/(1-AG41*RdsonBotTc*ThetaJA_Q2)</f>
        <v>4.183072061032219E-2</v>
      </c>
      <c r="AJ41" s="386">
        <f t="shared" ref="AJ41:AJ72" si="77">CHOOSE(J41, 0, SQRT(O41)*SQRT(L41^2+(P41^2)/12), SQRT(O41)*SQRT(M41^2+(P41^2)/12))</f>
        <v>0.77258472984085547</v>
      </c>
      <c r="AK41" s="386">
        <f t="shared" ref="AK41:AK72" si="78">Rdson4*AJ41^2</f>
        <v>1.1340856130882086E-3</v>
      </c>
      <c r="AL41" s="386">
        <f t="shared" ref="AL41:AL72" si="79">CHOOSE(J41, 0, (Vout*L41/2)*(Fsw)*(Tr_boost+Tf_boost), (Vout*Iout/2)*(Fsw/2)*(Tr_boost+Tf_boost))</f>
        <v>5.7488094717986812E-2</v>
      </c>
      <c r="AM41" s="386">
        <f t="shared" ref="AM41:AM72" si="80">IF(H41&gt;Vout, 0, IF(L41&gt;P41/2,0,ABS(L41-P41/2)*Vsd_Q4*Deadtime*Fsw))</f>
        <v>0</v>
      </c>
      <c r="AN41" s="386">
        <f t="shared" ref="AN41:AN72" si="81">(AM41+AL41+AK41*(1+RdsonTopTc*Ta-RdsonTopTc*25))/(1-AK41*RdsonTopTc*ThetaJA_Q4)</f>
        <v>5.8635479861900604E-2</v>
      </c>
      <c r="AO41" s="386">
        <f t="shared" si="49"/>
        <v>3.914090430240964</v>
      </c>
      <c r="AP41" s="386">
        <f t="shared" ref="AP41:AP72" si="82">Rdson3*AO41^2</f>
        <v>2.9108197402597399E-2</v>
      </c>
      <c r="AQ41" s="386">
        <f t="shared" ref="AQ41:AQ72" si="83">CHOOSE(J41, 0, IF(L41&lt;P41/2,Deadtime*Fsw*IF(VfdSky_Q3&gt;0,0,Vsd_Q3)*(L41+P41/2), 2*Deadtime*Fsw*IF(VfdSky_Q3&gt;0,0,Vsd_Q3)*L41), IF(L41&lt;P41/2,Deadtime*Fsw/2*IF(VfdSky_Q3&gt;0,0,Vsd_Q3)*(L41+P41/2), 2*Deadtime*Fsw/2*IF(VfdSky_Q3&gt;0,0,Vsd_Q3)*L41))</f>
        <v>4.2666666666666665E-2</v>
      </c>
      <c r="AR41" s="386">
        <f t="shared" ref="AR41:AR72" si="84">(AQ41+AP41*(1+RdsonBotTc*Ta-RdsonBotTc*25))/(1-AP41*RdsonBotTc*ThetaJA_Q3)</f>
        <v>7.2195158252851208E-2</v>
      </c>
      <c r="AS41" s="386">
        <f t="shared" ref="AS41:AS72" si="85">CHOOSE(J41, Rdson3*Q41^2, Rdson1*Q41^2, 0)</f>
        <v>0</v>
      </c>
      <c r="AT41" s="386">
        <f t="shared" ref="AT41:AT72" si="86">CHOOSE(J41, 2*Deadtime*Fsw*IF(VfdSky_Q2&gt;0,VfdSky_Q2,0)*K41, 2*Deadtime*Fsw*IF(VfdSky_Q3&gt;0,VfdSky_Q3,0)*L41, 2*Deadtime*Fsw/2*IF(VfdSky_Q2&gt;0,VfdSky_Q2,0)*K41+2*Deadtime*Fsw/2*IF(VfdSky_Q3&gt;0,VfdSky_Q3,0)*L41)</f>
        <v>0</v>
      </c>
      <c r="AU41" s="386">
        <f t="shared" ref="AU41:AU72" si="87">CHOOSE(J41, IF(QrrSky_Q2&gt;0,QrrSky_Q2,Qrr_Q2*K41/Iout)*Fsw*(Vin-K41*Rdson1), IF(QrrSky_Q3&gt;0,QrrSky_Q3,Qrr_Q3)*Fsw*Vout,  IF(QrrSky_Q2&gt;0,QrrSky_Q2,Qrr_Q2*K41/Iout)*Fsw/2*(Vin-K41*Rdson1)+IF(QrrSky_Q3&gt;0,QrrSky_Q3,Qrr_Q3)*Fsw/2*Vout)</f>
        <v>7.9684842239999984E-2</v>
      </c>
      <c r="AV41" s="386">
        <f t="shared" ref="AV41:AV72" si="88">CHOOSE(J41, Rs*AF41^2, Rs*AJ41^2, Rs*(AF41^2+AJ41^2))</f>
        <v>4.7750973182661442E-3</v>
      </c>
      <c r="AW41" s="386">
        <f t="shared" si="33"/>
        <v>0.59328000000000003</v>
      </c>
      <c r="AX41" s="386">
        <f t="shared" ref="AX41:AX72" si="89">IF(Vout&gt;8, Iq*Vout, Iq*Vin)</f>
        <v>3.6000000000000004E-2</v>
      </c>
      <c r="AY41" s="386">
        <f t="shared" ref="AY41:AY72" si="90">CHOOSE(J41, (Qg_Q1+Qg_Q2)*Fsw, (Qg_Q3+Qg_Q4)*Fsw, (Qg_Q1+Qg_Q2+Qg_Q3+Qg_Q4)*Fsw/2)*IF(Vout&gt;8, Vout, Vin)</f>
        <v>9.8999999999999977E-2</v>
      </c>
      <c r="AZ41" s="386">
        <f t="shared" si="36"/>
        <v>4.3499999999999997E-2</v>
      </c>
      <c r="BA41" s="386">
        <f t="shared" si="57"/>
        <v>0.13499999999999998</v>
      </c>
      <c r="BB41" s="386">
        <f t="shared" si="58"/>
        <v>1.1490406055052205</v>
      </c>
      <c r="BC41">
        <f t="shared" ref="BC41:BC72" si="91">Vout*K41</f>
        <v>46.08</v>
      </c>
      <c r="BD41" s="604">
        <f t="shared" si="51"/>
        <v>0.97567088827607307</v>
      </c>
      <c r="BE41" s="614">
        <f t="shared" ref="BE41:BE72" si="92">IF(Vin&gt;Vout,ThetaJA_Q1*BK41,ThetaJA_Q4*BK41)</f>
        <v>5.5613737870150297</v>
      </c>
      <c r="BF41" s="614">
        <f t="shared" ref="BF41:BF72" si="93">IF(Vin&gt;Vout, ThetaJA_Q2*BL41, ThetaJA_Q3*BL41)</f>
        <v>4.9245578096025602</v>
      </c>
      <c r="BG41" s="9"/>
      <c r="BH41" s="4">
        <f t="shared" si="52"/>
        <v>97.567088827607307</v>
      </c>
      <c r="BI41" s="386">
        <f t="shared" si="53"/>
        <v>5.3550352663860344E-2</v>
      </c>
      <c r="BJ41" s="386">
        <f t="shared" si="54"/>
        <v>0.36128614773088608</v>
      </c>
      <c r="BK41" s="386">
        <f t="shared" ref="BK41:BK72" si="94">IF(Vin&gt;Vout, AE41+AU41*0.66, AN41+AU41*0.66)</f>
        <v>0.11122747574030059</v>
      </c>
      <c r="BL41" s="386">
        <f t="shared" ref="BL41:BL72" si="95">IF(Vin&gt;Vout, AI41+AU41*0.33, AR41+AU41*0.33)</f>
        <v>9.8491156192051205E-2</v>
      </c>
      <c r="BM41" s="386">
        <f t="shared" si="55"/>
        <v>4.7750973182661442E-3</v>
      </c>
      <c r="BR41">
        <v>9.9985180000000007</v>
      </c>
      <c r="BS41">
        <v>3.1859999999999999</v>
      </c>
      <c r="BT41">
        <v>5.1148889999999998</v>
      </c>
      <c r="BU41">
        <v>94.58411932633652</v>
      </c>
      <c r="BV41">
        <v>933.10990806000302</v>
      </c>
    </row>
    <row r="42" spans="1:74" x14ac:dyDescent="0.2">
      <c r="A42" s="23" t="s">
        <v>94</v>
      </c>
      <c r="B42" s="5">
        <f>Rgate1</f>
        <v>1.5</v>
      </c>
      <c r="C42" s="486" t="s">
        <v>120</v>
      </c>
      <c r="D42" s="21" t="s">
        <v>104</v>
      </c>
      <c r="G42">
        <v>33</v>
      </c>
      <c r="H42" s="610">
        <f t="shared" si="59"/>
        <v>12</v>
      </c>
      <c r="I42" s="4" t="str">
        <f t="shared" si="60"/>
        <v>BUCK-BST</v>
      </c>
      <c r="J42">
        <f t="shared" si="43"/>
        <v>3</v>
      </c>
      <c r="K42" s="386">
        <f t="shared" ref="K42:K73" si="96">Iout*G42/100</f>
        <v>3.96</v>
      </c>
      <c r="L42" s="4">
        <f t="shared" si="61"/>
        <v>4.3999999999999995</v>
      </c>
      <c r="M42" s="4">
        <f t="shared" si="56"/>
        <v>4.1142857142857139</v>
      </c>
      <c r="N42" s="386">
        <f t="shared" si="62"/>
        <v>0.96250000000000002</v>
      </c>
      <c r="O42" s="386">
        <f t="shared" si="63"/>
        <v>3.7499999999999943E-2</v>
      </c>
      <c r="P42" s="4">
        <f t="shared" si="64"/>
        <v>0</v>
      </c>
      <c r="Q42" s="4">
        <f t="shared" si="65"/>
        <v>4.1142857142857139</v>
      </c>
      <c r="R42" s="386">
        <f t="shared" si="7"/>
        <v>5.6965035780539852E-2</v>
      </c>
      <c r="S42" s="386">
        <f t="shared" si="45"/>
        <v>0</v>
      </c>
      <c r="T42" s="386">
        <f t="shared" si="46"/>
        <v>5.6965035780539852E-2</v>
      </c>
      <c r="U42" s="4">
        <f t="shared" si="66"/>
        <v>0.781646613612205</v>
      </c>
      <c r="V42" s="386">
        <f t="shared" si="9"/>
        <v>1.2219428571428556E-3</v>
      </c>
      <c r="W42" s="386">
        <f t="shared" si="47"/>
        <v>1.2219428571428556E-3</v>
      </c>
      <c r="X42" s="4">
        <f t="shared" si="67"/>
        <v>0</v>
      </c>
      <c r="Y42" s="386">
        <f t="shared" si="11"/>
        <v>0</v>
      </c>
      <c r="Z42" s="603">
        <f t="shared" si="48"/>
        <v>0</v>
      </c>
      <c r="AA42" s="386">
        <f t="shared" si="68"/>
        <v>4.0364057561859941</v>
      </c>
      <c r="AB42" s="386">
        <f t="shared" si="69"/>
        <v>9.2867657142857135E-2</v>
      </c>
      <c r="AC42" s="386">
        <f t="shared" si="70"/>
        <v>2.0328749999999996E-2</v>
      </c>
      <c r="AD42" s="386">
        <f t="shared" si="71"/>
        <v>0</v>
      </c>
      <c r="AE42" s="386">
        <f t="shared" si="72"/>
        <v>0.11533865324381014</v>
      </c>
      <c r="AF42" s="386">
        <f t="shared" si="73"/>
        <v>0.79672800264838262</v>
      </c>
      <c r="AG42" s="386">
        <f t="shared" si="74"/>
        <v>3.6182204081632629E-3</v>
      </c>
      <c r="AH42" s="386">
        <f t="shared" si="75"/>
        <v>3.9600000000000003E-2</v>
      </c>
      <c r="AI42" s="386">
        <f t="shared" si="76"/>
        <v>4.3249517665655483E-2</v>
      </c>
      <c r="AJ42" s="386">
        <f t="shared" si="77"/>
        <v>0.79672800264838217</v>
      </c>
      <c r="AK42" s="386">
        <f t="shared" si="78"/>
        <v>1.2060734693877531E-3</v>
      </c>
      <c r="AL42" s="386">
        <f t="shared" si="79"/>
        <v>5.7488094717986812E-2</v>
      </c>
      <c r="AM42" s="386">
        <f t="shared" si="80"/>
        <v>0</v>
      </c>
      <c r="AN42" s="386">
        <f t="shared" si="81"/>
        <v>5.8708329499102749E-2</v>
      </c>
      <c r="AO42" s="386">
        <f t="shared" si="49"/>
        <v>4.0364057561859941</v>
      </c>
      <c r="AP42" s="386">
        <f t="shared" si="82"/>
        <v>3.0955885714285713E-2</v>
      </c>
      <c r="AQ42" s="386">
        <f t="shared" si="83"/>
        <v>4.3999999999999997E-2</v>
      </c>
      <c r="AR42" s="386">
        <f t="shared" si="84"/>
        <v>7.5422841889038458E-2</v>
      </c>
      <c r="AS42" s="386">
        <f t="shared" si="85"/>
        <v>0</v>
      </c>
      <c r="AT42" s="386">
        <f t="shared" si="86"/>
        <v>0</v>
      </c>
      <c r="AU42" s="386">
        <f t="shared" si="87"/>
        <v>8.0626341014999992E-2</v>
      </c>
      <c r="AV42" s="386">
        <f t="shared" si="88"/>
        <v>5.078204081632647E-3</v>
      </c>
      <c r="AW42" s="386">
        <f t="shared" si="33"/>
        <v>0.59328000000000003</v>
      </c>
      <c r="AX42" s="386">
        <f t="shared" si="89"/>
        <v>3.6000000000000004E-2</v>
      </c>
      <c r="AY42" s="386">
        <f t="shared" si="90"/>
        <v>9.8999999999999977E-2</v>
      </c>
      <c r="AZ42" s="386">
        <f t="shared" si="36"/>
        <v>4.3499999999999997E-2</v>
      </c>
      <c r="BA42" s="386">
        <f t="shared" si="57"/>
        <v>0.13499999999999998</v>
      </c>
      <c r="BB42" s="386">
        <f t="shared" si="58"/>
        <v>1.1648908660319222</v>
      </c>
      <c r="BC42">
        <f t="shared" si="91"/>
        <v>47.519999999999996</v>
      </c>
      <c r="BD42" s="604">
        <f t="shared" si="51"/>
        <v>0.97607284631206426</v>
      </c>
      <c r="BE42" s="614">
        <f t="shared" si="92"/>
        <v>5.5960857284501371</v>
      </c>
      <c r="BF42" s="614">
        <f t="shared" si="93"/>
        <v>5.1014767211994227</v>
      </c>
      <c r="BG42" s="9"/>
      <c r="BH42" s="4">
        <f t="shared" si="52"/>
        <v>97.607284631206426</v>
      </c>
      <c r="BI42" s="386">
        <f t="shared" si="53"/>
        <v>5.6965035780539852E-2</v>
      </c>
      <c r="BJ42" s="386">
        <f t="shared" si="54"/>
        <v>0.37334568331260681</v>
      </c>
      <c r="BK42" s="386">
        <f t="shared" si="94"/>
        <v>0.11192171456900274</v>
      </c>
      <c r="BL42" s="386">
        <f t="shared" si="95"/>
        <v>0.10202953442398846</v>
      </c>
      <c r="BM42" s="386">
        <f t="shared" si="55"/>
        <v>5.078204081632647E-3</v>
      </c>
      <c r="BR42">
        <v>9.9984190000000002</v>
      </c>
      <c r="BS42">
        <v>3.6920000000000002</v>
      </c>
      <c r="BT42">
        <v>5.1137540000000001</v>
      </c>
      <c r="BU42">
        <v>94.441363374789603</v>
      </c>
      <c r="BV42">
        <v>1111.2391205219994</v>
      </c>
    </row>
    <row r="43" spans="1:74" x14ac:dyDescent="0.2">
      <c r="A43" s="23" t="s">
        <v>73</v>
      </c>
      <c r="B43" s="5">
        <f>Gfs_Q1</f>
        <v>60</v>
      </c>
      <c r="C43" s="482" t="s">
        <v>70</v>
      </c>
      <c r="D43" s="21" t="s">
        <v>105</v>
      </c>
      <c r="G43">
        <v>34</v>
      </c>
      <c r="H43" s="610">
        <f t="shared" si="59"/>
        <v>12</v>
      </c>
      <c r="I43" s="4" t="str">
        <f t="shared" si="60"/>
        <v>BUCK-BST</v>
      </c>
      <c r="J43">
        <f t="shared" si="43"/>
        <v>3</v>
      </c>
      <c r="K43" s="386">
        <f t="shared" si="96"/>
        <v>4.08</v>
      </c>
      <c r="L43" s="4">
        <f t="shared" si="61"/>
        <v>4.5333333333333332</v>
      </c>
      <c r="M43" s="4">
        <f t="shared" si="56"/>
        <v>4.2389610389610386</v>
      </c>
      <c r="N43" s="386">
        <f t="shared" si="62"/>
        <v>0.96250000000000002</v>
      </c>
      <c r="O43" s="386">
        <f t="shared" si="63"/>
        <v>3.7499999999999943E-2</v>
      </c>
      <c r="P43" s="4">
        <f t="shared" si="64"/>
        <v>0</v>
      </c>
      <c r="Q43" s="4">
        <f t="shared" si="65"/>
        <v>4.2389610389610386</v>
      </c>
      <c r="R43" s="386">
        <f t="shared" si="7"/>
        <v>6.0486730883942498E-2</v>
      </c>
      <c r="S43" s="386">
        <f t="shared" si="45"/>
        <v>0</v>
      </c>
      <c r="T43" s="386">
        <f t="shared" si="46"/>
        <v>6.0486730883942498E-2</v>
      </c>
      <c r="U43" s="4">
        <f t="shared" si="66"/>
        <v>0.80533287463075665</v>
      </c>
      <c r="V43" s="386">
        <f t="shared" si="9"/>
        <v>1.2971220779220761E-3</v>
      </c>
      <c r="W43" s="386">
        <f t="shared" si="47"/>
        <v>1.2971220779220761E-3</v>
      </c>
      <c r="X43" s="4">
        <f t="shared" si="67"/>
        <v>0</v>
      </c>
      <c r="Y43" s="386">
        <f t="shared" si="11"/>
        <v>0</v>
      </c>
      <c r="Z43" s="603">
        <f t="shared" si="48"/>
        <v>0</v>
      </c>
      <c r="AA43" s="386">
        <f t="shared" si="68"/>
        <v>4.1587210821310245</v>
      </c>
      <c r="AB43" s="386">
        <f t="shared" si="69"/>
        <v>9.8581277922077937E-2</v>
      </c>
      <c r="AC43" s="386">
        <f t="shared" si="70"/>
        <v>2.0944772727272725E-2</v>
      </c>
      <c r="AD43" s="386">
        <f t="shared" si="71"/>
        <v>0</v>
      </c>
      <c r="AE43" s="386">
        <f t="shared" si="72"/>
        <v>0.12193005477267042</v>
      </c>
      <c r="AF43" s="386">
        <f t="shared" si="73"/>
        <v>0.82087127545590943</v>
      </c>
      <c r="AG43" s="386">
        <f t="shared" si="74"/>
        <v>3.840829009951086E-3</v>
      </c>
      <c r="AH43" s="386">
        <f t="shared" si="75"/>
        <v>4.0800000000000003E-2</v>
      </c>
      <c r="AI43" s="386">
        <f t="shared" si="76"/>
        <v>4.4675146930021621E-2</v>
      </c>
      <c r="AJ43" s="386">
        <f t="shared" si="77"/>
        <v>0.82087127545590888</v>
      </c>
      <c r="AK43" s="386">
        <f t="shared" si="78"/>
        <v>1.28027633665036E-3</v>
      </c>
      <c r="AL43" s="386">
        <f t="shared" si="79"/>
        <v>5.7488094717986812E-2</v>
      </c>
      <c r="AM43" s="386">
        <f t="shared" si="80"/>
        <v>0</v>
      </c>
      <c r="AN43" s="386">
        <f t="shared" si="81"/>
        <v>5.8783422859692083E-2</v>
      </c>
      <c r="AO43" s="386">
        <f t="shared" si="49"/>
        <v>4.1587210821310245</v>
      </c>
      <c r="AP43" s="386">
        <f t="shared" si="82"/>
        <v>3.2860425974025977E-2</v>
      </c>
      <c r="AQ43" s="386">
        <f t="shared" si="83"/>
        <v>4.533333333333333E-2</v>
      </c>
      <c r="AR43" s="386">
        <f t="shared" si="84"/>
        <v>7.8711055067032853E-2</v>
      </c>
      <c r="AS43" s="386">
        <f t="shared" si="85"/>
        <v>0</v>
      </c>
      <c r="AT43" s="386">
        <f t="shared" si="86"/>
        <v>0</v>
      </c>
      <c r="AU43" s="386">
        <f t="shared" si="87"/>
        <v>8.1567732059999981E-2</v>
      </c>
      <c r="AV43" s="386">
        <f t="shared" si="88"/>
        <v>5.3906372069488879E-3</v>
      </c>
      <c r="AW43" s="386">
        <f t="shared" si="33"/>
        <v>0.59328000000000003</v>
      </c>
      <c r="AX43" s="386">
        <f t="shared" si="89"/>
        <v>3.6000000000000004E-2</v>
      </c>
      <c r="AY43" s="386">
        <f t="shared" si="90"/>
        <v>9.8999999999999977E-2</v>
      </c>
      <c r="AZ43" s="386">
        <f t="shared" si="36"/>
        <v>4.3499999999999997E-2</v>
      </c>
      <c r="BA43" s="386">
        <f t="shared" si="57"/>
        <v>0.13499999999999998</v>
      </c>
      <c r="BB43" s="386">
        <f t="shared" si="58"/>
        <v>1.1811219018582304</v>
      </c>
      <c r="BC43">
        <f t="shared" si="91"/>
        <v>48.96</v>
      </c>
      <c r="BD43" s="604">
        <f t="shared" si="51"/>
        <v>0.97644404718007594</v>
      </c>
      <c r="BE43" s="614">
        <f t="shared" si="92"/>
        <v>5.6309063009646039</v>
      </c>
      <c r="BF43" s="614">
        <f t="shared" si="93"/>
        <v>5.281420332341642</v>
      </c>
      <c r="BG43" s="9"/>
      <c r="BH43" s="4">
        <f t="shared" si="52"/>
        <v>97.644404718007593</v>
      </c>
      <c r="BI43" s="386">
        <f t="shared" si="53"/>
        <v>6.0486730883942498E-2</v>
      </c>
      <c r="BJ43" s="386">
        <f t="shared" si="54"/>
        <v>0.38566741168941698</v>
      </c>
      <c r="BK43" s="386">
        <f t="shared" si="94"/>
        <v>0.11261812601929208</v>
      </c>
      <c r="BL43" s="386">
        <f t="shared" si="95"/>
        <v>0.10562840664683285</v>
      </c>
      <c r="BM43" s="386">
        <f t="shared" si="55"/>
        <v>5.3906372069488879E-3</v>
      </c>
      <c r="BR43">
        <v>9.998246</v>
      </c>
      <c r="BS43">
        <v>4.2430000000000003</v>
      </c>
      <c r="BT43">
        <v>5.1120590000000004</v>
      </c>
      <c r="BU43">
        <v>94.267178615859891</v>
      </c>
      <c r="BV43">
        <v>1319.0970775599953</v>
      </c>
    </row>
    <row r="44" spans="1:74" x14ac:dyDescent="0.2">
      <c r="A44" s="23" t="s">
        <v>96</v>
      </c>
      <c r="B44" s="5">
        <f>Vth_Q1</f>
        <v>4</v>
      </c>
      <c r="C44" s="482" t="s">
        <v>0</v>
      </c>
      <c r="D44" s="21" t="s">
        <v>106</v>
      </c>
      <c r="G44">
        <v>35</v>
      </c>
      <c r="H44" s="610">
        <f t="shared" si="59"/>
        <v>12</v>
      </c>
      <c r="I44" s="4" t="str">
        <f t="shared" si="60"/>
        <v>BUCK-BST</v>
      </c>
      <c r="J44">
        <f t="shared" si="43"/>
        <v>3</v>
      </c>
      <c r="K44" s="386">
        <f t="shared" si="96"/>
        <v>4.2</v>
      </c>
      <c r="L44" s="4">
        <f t="shared" si="61"/>
        <v>4.666666666666667</v>
      </c>
      <c r="M44" s="4">
        <f t="shared" si="56"/>
        <v>4.3636363636363633</v>
      </c>
      <c r="N44" s="386">
        <f t="shared" si="62"/>
        <v>0.96250000000000002</v>
      </c>
      <c r="O44" s="386">
        <f t="shared" si="63"/>
        <v>3.7499999999999943E-2</v>
      </c>
      <c r="P44" s="4">
        <f t="shared" si="64"/>
        <v>0</v>
      </c>
      <c r="Q44" s="4">
        <f t="shared" si="65"/>
        <v>4.3636363636363633</v>
      </c>
      <c r="R44" s="386">
        <f t="shared" si="7"/>
        <v>6.41156165120573E-2</v>
      </c>
      <c r="S44" s="386">
        <f t="shared" si="45"/>
        <v>0</v>
      </c>
      <c r="T44" s="386">
        <f t="shared" si="46"/>
        <v>6.41156165120573E-2</v>
      </c>
      <c r="U44" s="4">
        <f t="shared" si="66"/>
        <v>0.82901913564930829</v>
      </c>
      <c r="V44" s="386">
        <f t="shared" si="9"/>
        <v>1.3745454545454525E-3</v>
      </c>
      <c r="W44" s="386">
        <f t="shared" si="47"/>
        <v>1.3745454545454525E-3</v>
      </c>
      <c r="X44" s="4">
        <f t="shared" si="67"/>
        <v>0</v>
      </c>
      <c r="Y44" s="386">
        <f t="shared" si="11"/>
        <v>0</v>
      </c>
      <c r="Z44" s="603">
        <f t="shared" si="48"/>
        <v>0</v>
      </c>
      <c r="AA44" s="386">
        <f t="shared" si="68"/>
        <v>4.2810364080760541</v>
      </c>
      <c r="AB44" s="386">
        <f t="shared" si="69"/>
        <v>0.10446545454545453</v>
      </c>
      <c r="AC44" s="386">
        <f t="shared" si="70"/>
        <v>2.1560795454545457E-2</v>
      </c>
      <c r="AD44" s="386">
        <f t="shared" si="71"/>
        <v>0</v>
      </c>
      <c r="AE44" s="386">
        <f t="shared" si="72"/>
        <v>0.12871551495537303</v>
      </c>
      <c r="AF44" s="386">
        <f t="shared" si="73"/>
        <v>0.84501454826343614</v>
      </c>
      <c r="AG44" s="386">
        <f t="shared" si="74"/>
        <v>4.0700826446280966E-3</v>
      </c>
      <c r="AH44" s="386">
        <f t="shared" si="75"/>
        <v>4.2000000000000003E-2</v>
      </c>
      <c r="AI44" s="386">
        <f t="shared" si="76"/>
        <v>4.6107615005351793E-2</v>
      </c>
      <c r="AJ44" s="386">
        <f t="shared" si="77"/>
        <v>0.84501454826343569</v>
      </c>
      <c r="AK44" s="386">
        <f t="shared" si="78"/>
        <v>1.3566942148760307E-3</v>
      </c>
      <c r="AL44" s="386">
        <f t="shared" si="79"/>
        <v>5.7488094717986812E-2</v>
      </c>
      <c r="AM44" s="386">
        <f t="shared" si="80"/>
        <v>0</v>
      </c>
      <c r="AN44" s="386">
        <f t="shared" si="81"/>
        <v>5.8860760143416804E-2</v>
      </c>
      <c r="AO44" s="386">
        <f t="shared" si="49"/>
        <v>4.2810364080760541</v>
      </c>
      <c r="AP44" s="386">
        <f t="shared" si="82"/>
        <v>3.4821818181818176E-2</v>
      </c>
      <c r="AQ44" s="386">
        <f t="shared" si="83"/>
        <v>4.6666666666666669E-2</v>
      </c>
      <c r="AR44" s="386">
        <f t="shared" si="84"/>
        <v>8.2059980391927093E-2</v>
      </c>
      <c r="AS44" s="386">
        <f t="shared" si="85"/>
        <v>0</v>
      </c>
      <c r="AT44" s="386">
        <f t="shared" si="86"/>
        <v>0</v>
      </c>
      <c r="AU44" s="386">
        <f t="shared" si="87"/>
        <v>8.2509015374999994E-2</v>
      </c>
      <c r="AV44" s="386">
        <f t="shared" si="88"/>
        <v>5.7123966942148685E-3</v>
      </c>
      <c r="AW44" s="386">
        <f t="shared" si="33"/>
        <v>0.59328000000000003</v>
      </c>
      <c r="AX44" s="386">
        <f t="shared" si="89"/>
        <v>3.6000000000000004E-2</v>
      </c>
      <c r="AY44" s="386">
        <f t="shared" si="90"/>
        <v>9.8999999999999977E-2</v>
      </c>
      <c r="AZ44" s="386">
        <f t="shared" si="36"/>
        <v>4.3499999999999997E-2</v>
      </c>
      <c r="BA44" s="386">
        <f t="shared" si="57"/>
        <v>0.13499999999999998</v>
      </c>
      <c r="BB44" s="386">
        <f t="shared" si="58"/>
        <v>1.1977354445318862</v>
      </c>
      <c r="BC44">
        <f t="shared" si="91"/>
        <v>50.400000000000006</v>
      </c>
      <c r="BD44" s="604">
        <f t="shared" si="51"/>
        <v>0.97678705404000787</v>
      </c>
      <c r="BE44" s="614">
        <f t="shared" si="92"/>
        <v>5.6658355145458401</v>
      </c>
      <c r="BF44" s="614">
        <f t="shared" si="93"/>
        <v>5.4643977732838547</v>
      </c>
      <c r="BG44" s="9"/>
      <c r="BH44" s="4">
        <f t="shared" si="52"/>
        <v>97.678705404000794</v>
      </c>
      <c r="BI44" s="386">
        <f t="shared" si="53"/>
        <v>6.41156165120573E-2</v>
      </c>
      <c r="BJ44" s="386">
        <f t="shared" si="54"/>
        <v>0.39825288587106872</v>
      </c>
      <c r="BK44" s="386">
        <f t="shared" si="94"/>
        <v>0.11331671029091681</v>
      </c>
      <c r="BL44" s="386">
        <f t="shared" si="95"/>
        <v>0.1092879554656771</v>
      </c>
      <c r="BM44" s="386">
        <f t="shared" si="55"/>
        <v>5.7123966942148685E-3</v>
      </c>
      <c r="BR44">
        <v>9.9981469999999995</v>
      </c>
      <c r="BS44">
        <v>4.8490000000000002</v>
      </c>
      <c r="BT44">
        <v>5.1107740000000002</v>
      </c>
      <c r="BU44">
        <v>93.953815994681278</v>
      </c>
      <c r="BV44">
        <v>1594.7983209009985</v>
      </c>
    </row>
    <row r="45" spans="1:74" x14ac:dyDescent="0.2">
      <c r="A45" s="28" t="s">
        <v>147</v>
      </c>
      <c r="B45" s="489">
        <f>Vsp_Q1</f>
        <v>4.2</v>
      </c>
      <c r="C45" s="487" t="s">
        <v>0</v>
      </c>
      <c r="G45">
        <v>36</v>
      </c>
      <c r="H45" s="610">
        <f t="shared" si="59"/>
        <v>12</v>
      </c>
      <c r="I45" s="4" t="str">
        <f t="shared" si="60"/>
        <v>BUCK-BST</v>
      </c>
      <c r="J45">
        <f t="shared" si="43"/>
        <v>3</v>
      </c>
      <c r="K45" s="386">
        <f t="shared" si="96"/>
        <v>4.32</v>
      </c>
      <c r="L45" s="4">
        <f t="shared" si="61"/>
        <v>4.8</v>
      </c>
      <c r="M45" s="4">
        <f t="shared" si="56"/>
        <v>4.4883116883116889</v>
      </c>
      <c r="N45" s="386">
        <f t="shared" si="62"/>
        <v>0.96250000000000002</v>
      </c>
      <c r="O45" s="386">
        <f t="shared" si="63"/>
        <v>3.7499999999999943E-2</v>
      </c>
      <c r="P45" s="4">
        <f t="shared" si="64"/>
        <v>0</v>
      </c>
      <c r="Q45" s="4">
        <f t="shared" si="65"/>
        <v>4.4883116883116889</v>
      </c>
      <c r="R45" s="386">
        <f t="shared" si="7"/>
        <v>6.7851876793736471E-2</v>
      </c>
      <c r="S45" s="386">
        <f t="shared" si="45"/>
        <v>0</v>
      </c>
      <c r="T45" s="386">
        <f t="shared" si="46"/>
        <v>6.7851876793736471E-2</v>
      </c>
      <c r="U45" s="4">
        <f t="shared" si="66"/>
        <v>0.85270539666786005</v>
      </c>
      <c r="V45" s="386">
        <f t="shared" si="9"/>
        <v>1.4542129870129853E-3</v>
      </c>
      <c r="W45" s="386">
        <f t="shared" si="47"/>
        <v>1.4542129870129853E-3</v>
      </c>
      <c r="X45" s="4">
        <f t="shared" si="67"/>
        <v>0</v>
      </c>
      <c r="Y45" s="386">
        <f t="shared" si="11"/>
        <v>0</v>
      </c>
      <c r="Z45" s="603">
        <f t="shared" si="48"/>
        <v>0</v>
      </c>
      <c r="AA45" s="386">
        <f t="shared" si="68"/>
        <v>4.4033517340210855</v>
      </c>
      <c r="AB45" s="386">
        <f t="shared" si="69"/>
        <v>0.11052018701298705</v>
      </c>
      <c r="AC45" s="386">
        <f t="shared" si="70"/>
        <v>2.2176818181818179E-2</v>
      </c>
      <c r="AD45" s="386">
        <f t="shared" si="71"/>
        <v>0</v>
      </c>
      <c r="AE45" s="386">
        <f t="shared" si="72"/>
        <v>0.13569644447896781</v>
      </c>
      <c r="AF45" s="386">
        <f t="shared" si="73"/>
        <v>0.86915782107096307</v>
      </c>
      <c r="AG45" s="386">
        <f t="shared" si="74"/>
        <v>4.3059813121942986E-3</v>
      </c>
      <c r="AH45" s="386">
        <f t="shared" si="75"/>
        <v>4.3200000000000002E-2</v>
      </c>
      <c r="AI45" s="386">
        <f t="shared" si="76"/>
        <v>4.7546928549351448E-2</v>
      </c>
      <c r="AJ45" s="386">
        <f t="shared" si="77"/>
        <v>0.86915782107096262</v>
      </c>
      <c r="AK45" s="386">
        <f t="shared" si="78"/>
        <v>1.4353271040647645E-3</v>
      </c>
      <c r="AL45" s="386">
        <f t="shared" si="79"/>
        <v>5.7488094717986812E-2</v>
      </c>
      <c r="AM45" s="386">
        <f t="shared" si="80"/>
        <v>0</v>
      </c>
      <c r="AN45" s="386">
        <f t="shared" si="81"/>
        <v>5.8940341556003209E-2</v>
      </c>
      <c r="AO45" s="386">
        <f t="shared" si="49"/>
        <v>4.4033517340210855</v>
      </c>
      <c r="AP45" s="386">
        <f t="shared" si="82"/>
        <v>3.6840062337662349E-2</v>
      </c>
      <c r="AQ45" s="386">
        <f t="shared" si="83"/>
        <v>4.8000000000000001E-2</v>
      </c>
      <c r="AR45" s="386">
        <f t="shared" si="84"/>
        <v>8.5469804925954351E-2</v>
      </c>
      <c r="AS45" s="386">
        <f t="shared" si="85"/>
        <v>0</v>
      </c>
      <c r="AT45" s="386">
        <f t="shared" si="86"/>
        <v>0</v>
      </c>
      <c r="AU45" s="386">
        <f t="shared" si="87"/>
        <v>8.345019095999999E-2</v>
      </c>
      <c r="AV45" s="386">
        <f t="shared" si="88"/>
        <v>6.0434825434305907E-3</v>
      </c>
      <c r="AW45" s="386">
        <f t="shared" si="33"/>
        <v>0.59328000000000003</v>
      </c>
      <c r="AX45" s="386">
        <f t="shared" si="89"/>
        <v>3.6000000000000004E-2</v>
      </c>
      <c r="AY45" s="386">
        <f t="shared" si="90"/>
        <v>9.8999999999999977E-2</v>
      </c>
      <c r="AZ45" s="386">
        <f t="shared" si="36"/>
        <v>4.3499999999999997E-2</v>
      </c>
      <c r="BA45" s="386">
        <f t="shared" si="57"/>
        <v>0.13499999999999998</v>
      </c>
      <c r="BB45" s="386">
        <f t="shared" si="58"/>
        <v>1.2147332827944568</v>
      </c>
      <c r="BC45">
        <f t="shared" si="91"/>
        <v>51.84</v>
      </c>
      <c r="BD45" s="604">
        <f t="shared" si="51"/>
        <v>0.97710414872279849</v>
      </c>
      <c r="BE45" s="614">
        <f t="shared" si="92"/>
        <v>5.7008733794801607</v>
      </c>
      <c r="BF45" s="614">
        <f t="shared" si="93"/>
        <v>5.6504183971377175</v>
      </c>
      <c r="BG45" s="9"/>
      <c r="BH45" s="4">
        <f t="shared" si="52"/>
        <v>97.710414872279856</v>
      </c>
      <c r="BI45" s="386">
        <f t="shared" si="53"/>
        <v>6.7851876793736471E-2</v>
      </c>
      <c r="BJ45" s="386">
        <f t="shared" si="54"/>
        <v>0.41110371047027683</v>
      </c>
      <c r="BK45" s="386">
        <f t="shared" si="94"/>
        <v>0.11401746758960321</v>
      </c>
      <c r="BL45" s="386">
        <f t="shared" si="95"/>
        <v>0.11300836794275435</v>
      </c>
      <c r="BM45" s="386">
        <f t="shared" si="55"/>
        <v>6.0434825434305907E-3</v>
      </c>
      <c r="BR45">
        <v>9.9979859999999992</v>
      </c>
      <c r="BS45">
        <v>5.4960000000000004</v>
      </c>
      <c r="BT45">
        <v>5.1097890000000001</v>
      </c>
      <c r="BU45">
        <v>93.599771362833366</v>
      </c>
      <c r="BV45">
        <v>1920.3056923499939</v>
      </c>
    </row>
    <row r="46" spans="1:74" x14ac:dyDescent="0.2">
      <c r="A46" s="77" t="s">
        <v>239</v>
      </c>
      <c r="B46" s="5">
        <f>Vsd_Q1</f>
        <v>0.8</v>
      </c>
      <c r="C46" s="487" t="s">
        <v>0</v>
      </c>
      <c r="G46">
        <v>37</v>
      </c>
      <c r="H46" s="610">
        <f t="shared" si="59"/>
        <v>12</v>
      </c>
      <c r="I46" s="4" t="str">
        <f t="shared" si="60"/>
        <v>BUCK-BST</v>
      </c>
      <c r="J46">
        <f t="shared" si="43"/>
        <v>3</v>
      </c>
      <c r="K46" s="386">
        <f t="shared" si="96"/>
        <v>4.4400000000000004</v>
      </c>
      <c r="L46" s="4">
        <f t="shared" si="61"/>
        <v>4.9333333333333327</v>
      </c>
      <c r="M46" s="4">
        <f t="shared" si="56"/>
        <v>4.6129870129870136</v>
      </c>
      <c r="N46" s="386">
        <f t="shared" si="62"/>
        <v>0.96250000000000002</v>
      </c>
      <c r="O46" s="386">
        <f t="shared" si="63"/>
        <v>3.7499999999999943E-2</v>
      </c>
      <c r="P46" s="4">
        <f t="shared" si="64"/>
        <v>0</v>
      </c>
      <c r="Q46" s="4">
        <f t="shared" si="65"/>
        <v>4.6129870129870136</v>
      </c>
      <c r="R46" s="386">
        <f t="shared" si="7"/>
        <v>7.1695701472205525E-2</v>
      </c>
      <c r="S46" s="386">
        <f t="shared" si="45"/>
        <v>0</v>
      </c>
      <c r="T46" s="386">
        <f t="shared" si="46"/>
        <v>7.1695701472205525E-2</v>
      </c>
      <c r="U46" s="4">
        <f t="shared" si="66"/>
        <v>0.8763916576864117</v>
      </c>
      <c r="V46" s="386">
        <f t="shared" si="9"/>
        <v>1.5361246753246734E-3</v>
      </c>
      <c r="W46" s="386">
        <f t="shared" si="47"/>
        <v>1.5361246753246734E-3</v>
      </c>
      <c r="X46" s="4">
        <f t="shared" si="67"/>
        <v>0</v>
      </c>
      <c r="Y46" s="386">
        <f t="shared" si="11"/>
        <v>0</v>
      </c>
      <c r="Z46" s="603">
        <f t="shared" si="48"/>
        <v>0</v>
      </c>
      <c r="AA46" s="386">
        <f t="shared" si="68"/>
        <v>4.525667059966116</v>
      </c>
      <c r="AB46" s="386">
        <f t="shared" si="69"/>
        <v>0.11674547532467537</v>
      </c>
      <c r="AC46" s="386">
        <f t="shared" si="70"/>
        <v>2.2792840909090908E-2</v>
      </c>
      <c r="AD46" s="386">
        <f t="shared" si="71"/>
        <v>0</v>
      </c>
      <c r="AE46" s="386">
        <f t="shared" si="72"/>
        <v>0.1428743018909544</v>
      </c>
      <c r="AF46" s="386">
        <f t="shared" si="73"/>
        <v>0.89330109387848977</v>
      </c>
      <c r="AG46" s="386">
        <f t="shared" si="74"/>
        <v>4.5485250126496863E-3</v>
      </c>
      <c r="AH46" s="386">
        <f t="shared" si="75"/>
        <v>4.4400000000000002E-2</v>
      </c>
      <c r="AI46" s="386">
        <f t="shared" si="76"/>
        <v>4.8993094275601626E-2</v>
      </c>
      <c r="AJ46" s="386">
        <f t="shared" si="77"/>
        <v>0.89330109387848933</v>
      </c>
      <c r="AK46" s="386">
        <f t="shared" si="78"/>
        <v>1.5161750042165607E-3</v>
      </c>
      <c r="AL46" s="386">
        <f t="shared" si="79"/>
        <v>5.7488094717986812E-2</v>
      </c>
      <c r="AM46" s="386">
        <f t="shared" si="80"/>
        <v>0</v>
      </c>
      <c r="AN46" s="386">
        <f t="shared" si="81"/>
        <v>5.9022167309157138E-2</v>
      </c>
      <c r="AO46" s="386">
        <f t="shared" si="49"/>
        <v>4.525667059966116</v>
      </c>
      <c r="AP46" s="386">
        <f t="shared" si="82"/>
        <v>3.8915158441558455E-2</v>
      </c>
      <c r="AQ46" s="386">
        <f t="shared" si="83"/>
        <v>4.9333333333333326E-2</v>
      </c>
      <c r="AR46" s="386">
        <f t="shared" si="84"/>
        <v>8.8940720218735461E-2</v>
      </c>
      <c r="AS46" s="386">
        <f t="shared" si="85"/>
        <v>0</v>
      </c>
      <c r="AT46" s="386">
        <f t="shared" si="86"/>
        <v>0</v>
      </c>
      <c r="AU46" s="386">
        <f t="shared" si="87"/>
        <v>8.4391258814999981E-2</v>
      </c>
      <c r="AV46" s="386">
        <f t="shared" si="88"/>
        <v>6.3838947545960473E-3</v>
      </c>
      <c r="AW46" s="386">
        <f t="shared" si="33"/>
        <v>0.59328000000000003</v>
      </c>
      <c r="AX46" s="386">
        <f t="shared" si="89"/>
        <v>3.6000000000000004E-2</v>
      </c>
      <c r="AY46" s="386">
        <f t="shared" si="90"/>
        <v>9.8999999999999977E-2</v>
      </c>
      <c r="AZ46" s="386">
        <f t="shared" si="36"/>
        <v>4.3499999999999997E-2</v>
      </c>
      <c r="BA46" s="386">
        <f t="shared" si="57"/>
        <v>0.13499999999999998</v>
      </c>
      <c r="BB46" s="386">
        <f t="shared" si="58"/>
        <v>1.2321172634115749</v>
      </c>
      <c r="BC46">
        <f t="shared" si="91"/>
        <v>53.28</v>
      </c>
      <c r="BD46" s="604">
        <f t="shared" si="51"/>
        <v>0.97739736914899522</v>
      </c>
      <c r="BE46" s="614">
        <f t="shared" si="92"/>
        <v>5.7360199063528565</v>
      </c>
      <c r="BF46" s="614">
        <f t="shared" si="93"/>
        <v>5.8394917813842726</v>
      </c>
      <c r="BG46" s="9"/>
      <c r="BH46" s="4">
        <f t="shared" si="52"/>
        <v>97.739736914899524</v>
      </c>
      <c r="BI46" s="386">
        <f t="shared" si="53"/>
        <v>7.1695701472205525E-2</v>
      </c>
      <c r="BJ46" s="386">
        <f t="shared" si="54"/>
        <v>0.4242215425094486</v>
      </c>
      <c r="BK46" s="386">
        <f t="shared" si="94"/>
        <v>0.11472039812705713</v>
      </c>
      <c r="BL46" s="386">
        <f t="shared" si="95"/>
        <v>0.11678983562768545</v>
      </c>
      <c r="BM46" s="386">
        <f t="shared" si="55"/>
        <v>6.3838947545960473E-3</v>
      </c>
      <c r="BR46">
        <v>9.9978999999999996</v>
      </c>
      <c r="BS46">
        <v>6.1950000000000003</v>
      </c>
      <c r="BT46">
        <v>5.109191</v>
      </c>
      <c r="BU46">
        <v>93.156651672159526</v>
      </c>
      <c r="BV46">
        <v>2325.1351758999972</v>
      </c>
    </row>
    <row r="47" spans="1:74" ht="15.75" x14ac:dyDescent="0.3">
      <c r="A47" s="488" t="s">
        <v>680</v>
      </c>
      <c r="B47" s="5">
        <f>ThetaJA_Q1</f>
        <v>50</v>
      </c>
      <c r="C47" s="483" t="s">
        <v>241</v>
      </c>
      <c r="D47" s="21" t="s">
        <v>107</v>
      </c>
      <c r="G47">
        <v>38</v>
      </c>
      <c r="H47" s="610">
        <f t="shared" si="59"/>
        <v>12</v>
      </c>
      <c r="I47" s="4" t="str">
        <f t="shared" si="60"/>
        <v>BUCK-BST</v>
      </c>
      <c r="J47">
        <f t="shared" si="43"/>
        <v>3</v>
      </c>
      <c r="K47" s="386">
        <f t="shared" si="96"/>
        <v>4.5599999999999996</v>
      </c>
      <c r="L47" s="4">
        <f t="shared" si="61"/>
        <v>5.0666666666666664</v>
      </c>
      <c r="M47" s="4">
        <f t="shared" si="56"/>
        <v>4.7376623376623375</v>
      </c>
      <c r="N47" s="386">
        <f t="shared" si="62"/>
        <v>0.96250000000000002</v>
      </c>
      <c r="O47" s="386">
        <f t="shared" si="63"/>
        <v>3.7499999999999943E-2</v>
      </c>
      <c r="P47" s="4">
        <f t="shared" si="64"/>
        <v>0</v>
      </c>
      <c r="Q47" s="4">
        <f t="shared" si="65"/>
        <v>4.7376623376623375</v>
      </c>
      <c r="R47" s="386">
        <f t="shared" si="7"/>
        <v>7.5647285929320504E-2</v>
      </c>
      <c r="S47" s="386">
        <f t="shared" si="45"/>
        <v>0</v>
      </c>
      <c r="T47" s="386">
        <f t="shared" si="46"/>
        <v>7.5647285929320504E-2</v>
      </c>
      <c r="U47" s="4">
        <f t="shared" si="66"/>
        <v>0.90007791870496323</v>
      </c>
      <c r="V47" s="386">
        <f t="shared" si="9"/>
        <v>1.6202805194805167E-3</v>
      </c>
      <c r="W47" s="386">
        <f t="shared" si="47"/>
        <v>1.6202805194805167E-3</v>
      </c>
      <c r="X47" s="4">
        <f t="shared" si="67"/>
        <v>0</v>
      </c>
      <c r="Y47" s="386">
        <f t="shared" si="11"/>
        <v>0</v>
      </c>
      <c r="Z47" s="603">
        <f t="shared" si="48"/>
        <v>0</v>
      </c>
      <c r="AA47" s="386">
        <f t="shared" si="68"/>
        <v>4.6479823859111447</v>
      </c>
      <c r="AB47" s="386">
        <f t="shared" si="69"/>
        <v>0.12314131948051947</v>
      </c>
      <c r="AC47" s="386">
        <f t="shared" si="70"/>
        <v>2.3408863636363634E-2</v>
      </c>
      <c r="AD47" s="386">
        <f t="shared" si="71"/>
        <v>0</v>
      </c>
      <c r="AE47" s="386">
        <f t="shared" si="72"/>
        <v>0.15025059440647218</v>
      </c>
      <c r="AF47" s="386">
        <f t="shared" si="73"/>
        <v>0.91744436668601637</v>
      </c>
      <c r="AG47" s="386">
        <f t="shared" si="74"/>
        <v>4.7977137459942623E-3</v>
      </c>
      <c r="AH47" s="386">
        <f t="shared" si="75"/>
        <v>4.5599999999999995E-2</v>
      </c>
      <c r="AI47" s="386">
        <f t="shared" si="76"/>
        <v>5.0446118953661467E-2</v>
      </c>
      <c r="AJ47" s="386">
        <f t="shared" si="77"/>
        <v>0.91744436668601592</v>
      </c>
      <c r="AK47" s="386">
        <f t="shared" si="78"/>
        <v>1.5992379153314193E-3</v>
      </c>
      <c r="AL47" s="386">
        <f t="shared" si="79"/>
        <v>5.7488094717986812E-2</v>
      </c>
      <c r="AM47" s="386">
        <f t="shared" si="80"/>
        <v>0</v>
      </c>
      <c r="AN47" s="386">
        <f t="shared" si="81"/>
        <v>5.9106237620565306E-2</v>
      </c>
      <c r="AO47" s="386">
        <f t="shared" si="49"/>
        <v>4.6479823859111447</v>
      </c>
      <c r="AP47" s="386">
        <f t="shared" si="82"/>
        <v>4.1047106493506486E-2</v>
      </c>
      <c r="AQ47" s="386">
        <f t="shared" si="83"/>
        <v>5.0666666666666665E-2</v>
      </c>
      <c r="AR47" s="386">
        <f t="shared" si="84"/>
        <v>9.2472922338370928E-2</v>
      </c>
      <c r="AS47" s="386">
        <f t="shared" si="85"/>
        <v>0</v>
      </c>
      <c r="AT47" s="386">
        <f t="shared" si="86"/>
        <v>0</v>
      </c>
      <c r="AU47" s="386">
        <f t="shared" si="87"/>
        <v>8.5332218939999982E-2</v>
      </c>
      <c r="AV47" s="386">
        <f t="shared" si="88"/>
        <v>6.7336333277112428E-3</v>
      </c>
      <c r="AW47" s="386">
        <f t="shared" si="33"/>
        <v>0.59328000000000003</v>
      </c>
      <c r="AX47" s="386">
        <f t="shared" si="89"/>
        <v>3.6000000000000004E-2</v>
      </c>
      <c r="AY47" s="386">
        <f t="shared" si="90"/>
        <v>9.8999999999999977E-2</v>
      </c>
      <c r="AZ47" s="386">
        <f t="shared" si="36"/>
        <v>4.3499999999999997E-2</v>
      </c>
      <c r="BA47" s="386">
        <f t="shared" si="57"/>
        <v>0.13499999999999998</v>
      </c>
      <c r="BB47" s="386">
        <f t="shared" si="58"/>
        <v>1.2498892920355822</v>
      </c>
      <c r="BC47">
        <f t="shared" si="91"/>
        <v>54.72</v>
      </c>
      <c r="BD47" s="604">
        <f t="shared" si="51"/>
        <v>0.97766854092717603</v>
      </c>
      <c r="BE47" s="614">
        <f t="shared" si="92"/>
        <v>5.7712751060482654</v>
      </c>
      <c r="BF47" s="614">
        <f t="shared" si="93"/>
        <v>6.0316277294285463</v>
      </c>
      <c r="BG47" s="9"/>
      <c r="BH47" s="4">
        <f t="shared" si="52"/>
        <v>97.766854092717608</v>
      </c>
      <c r="BI47" s="386">
        <f t="shared" si="53"/>
        <v>7.5647285929320504E-2</v>
      </c>
      <c r="BJ47" s="386">
        <f t="shared" si="54"/>
        <v>0.43760809225906983</v>
      </c>
      <c r="BK47" s="386">
        <f t="shared" si="94"/>
        <v>0.11542550212096531</v>
      </c>
      <c r="BL47" s="386">
        <f t="shared" si="95"/>
        <v>0.12063255458857092</v>
      </c>
      <c r="BM47" s="386">
        <f t="shared" si="55"/>
        <v>6.7336333277112428E-3</v>
      </c>
      <c r="BR47">
        <v>9.9976269999999996</v>
      </c>
      <c r="BS47">
        <v>6.9470000000000001</v>
      </c>
      <c r="BT47">
        <v>5.1086669999999996</v>
      </c>
      <c r="BU47">
        <v>92.656807634751772</v>
      </c>
      <c r="BV47">
        <v>2812.6290012010018</v>
      </c>
    </row>
    <row r="48" spans="1:74" x14ac:dyDescent="0.2">
      <c r="A48" s="24" t="s">
        <v>767</v>
      </c>
      <c r="B48" s="15" t="s">
        <v>115</v>
      </c>
      <c r="C48" s="24" t="s">
        <v>80</v>
      </c>
      <c r="D48" s="17" t="s">
        <v>111</v>
      </c>
      <c r="G48">
        <v>39</v>
      </c>
      <c r="H48" s="610">
        <f t="shared" si="59"/>
        <v>12</v>
      </c>
      <c r="I48" s="4" t="str">
        <f t="shared" si="60"/>
        <v>BUCK-BST</v>
      </c>
      <c r="J48">
        <f t="shared" si="43"/>
        <v>3</v>
      </c>
      <c r="K48" s="386">
        <f t="shared" si="96"/>
        <v>4.68</v>
      </c>
      <c r="L48" s="4">
        <f t="shared" si="61"/>
        <v>5.1999999999999993</v>
      </c>
      <c r="M48" s="4">
        <f t="shared" si="56"/>
        <v>4.8623376623376622</v>
      </c>
      <c r="N48" s="386">
        <f t="shared" si="62"/>
        <v>0.96250000000000002</v>
      </c>
      <c r="O48" s="386">
        <f t="shared" si="63"/>
        <v>3.7499999999999943E-2</v>
      </c>
      <c r="P48" s="4">
        <f t="shared" si="64"/>
        <v>0</v>
      </c>
      <c r="Q48" s="4">
        <f t="shared" si="65"/>
        <v>4.8623376623376622</v>
      </c>
      <c r="R48" s="386">
        <f t="shared" si="7"/>
        <v>7.9706831210578463E-2</v>
      </c>
      <c r="S48" s="386">
        <f t="shared" si="45"/>
        <v>0</v>
      </c>
      <c r="T48" s="386">
        <f t="shared" si="46"/>
        <v>7.9706831210578463E-2</v>
      </c>
      <c r="U48" s="4">
        <f t="shared" si="66"/>
        <v>0.92376417972351488</v>
      </c>
      <c r="V48" s="386">
        <f t="shared" si="9"/>
        <v>1.7066805194805167E-3</v>
      </c>
      <c r="W48" s="386">
        <f t="shared" si="47"/>
        <v>1.7066805194805167E-3</v>
      </c>
      <c r="X48" s="4">
        <f t="shared" si="67"/>
        <v>0</v>
      </c>
      <c r="Y48" s="386">
        <f t="shared" si="11"/>
        <v>0</v>
      </c>
      <c r="Z48" s="603">
        <f t="shared" si="48"/>
        <v>0</v>
      </c>
      <c r="AA48" s="386">
        <f t="shared" si="68"/>
        <v>4.7702977118561751</v>
      </c>
      <c r="AB48" s="386">
        <f t="shared" si="69"/>
        <v>0.12970771948051948</v>
      </c>
      <c r="AC48" s="386">
        <f t="shared" si="70"/>
        <v>2.4024886363636363E-2</v>
      </c>
      <c r="AD48" s="386">
        <f t="shared" si="71"/>
        <v>0</v>
      </c>
      <c r="AE48" s="386">
        <f t="shared" si="72"/>
        <v>0.15782687874716039</v>
      </c>
      <c r="AF48" s="386">
        <f t="shared" si="73"/>
        <v>0.94158763949354318</v>
      </c>
      <c r="AG48" s="386">
        <f t="shared" si="74"/>
        <v>5.0535475122280293E-3</v>
      </c>
      <c r="AH48" s="386">
        <f t="shared" si="75"/>
        <v>4.6800000000000001E-2</v>
      </c>
      <c r="AI48" s="386">
        <f t="shared" si="76"/>
        <v>5.1906009409171915E-2</v>
      </c>
      <c r="AJ48" s="386">
        <f t="shared" si="77"/>
        <v>0.94158763949354263</v>
      </c>
      <c r="AK48" s="386">
        <f t="shared" si="78"/>
        <v>1.684515837409341E-3</v>
      </c>
      <c r="AL48" s="386">
        <f t="shared" si="79"/>
        <v>5.7488094717986812E-2</v>
      </c>
      <c r="AM48" s="386">
        <f t="shared" si="80"/>
        <v>0</v>
      </c>
      <c r="AN48" s="386">
        <f t="shared" si="81"/>
        <v>5.9192552713896805E-2</v>
      </c>
      <c r="AO48" s="386">
        <f t="shared" si="49"/>
        <v>4.7702977118561751</v>
      </c>
      <c r="AP48" s="386">
        <f t="shared" si="82"/>
        <v>4.3235906493506497E-2</v>
      </c>
      <c r="AQ48" s="386">
        <f t="shared" si="83"/>
        <v>5.1999999999999991E-2</v>
      </c>
      <c r="AR48" s="386">
        <f t="shared" si="84"/>
        <v>9.606661190338707E-2</v>
      </c>
      <c r="AS48" s="386">
        <f t="shared" si="85"/>
        <v>0</v>
      </c>
      <c r="AT48" s="386">
        <f t="shared" si="86"/>
        <v>0</v>
      </c>
      <c r="AU48" s="386">
        <f t="shared" si="87"/>
        <v>8.6273071334999979E-2</v>
      </c>
      <c r="AV48" s="386">
        <f t="shared" si="88"/>
        <v>7.0926982627761764E-3</v>
      </c>
      <c r="AW48" s="386">
        <f t="shared" si="33"/>
        <v>0.59328000000000003</v>
      </c>
      <c r="AX48" s="386">
        <f t="shared" si="89"/>
        <v>3.6000000000000004E-2</v>
      </c>
      <c r="AY48" s="386">
        <f t="shared" si="90"/>
        <v>9.8999999999999977E-2</v>
      </c>
      <c r="AZ48" s="386">
        <f t="shared" si="36"/>
        <v>4.3499999999999997E-2</v>
      </c>
      <c r="BA48" s="386">
        <f t="shared" si="57"/>
        <v>0.13499999999999998</v>
      </c>
      <c r="BB48" s="386">
        <f t="shared" si="58"/>
        <v>1.2680513341014512</v>
      </c>
      <c r="BC48">
        <f t="shared" si="91"/>
        <v>56.16</v>
      </c>
      <c r="BD48" s="604">
        <f t="shared" si="51"/>
        <v>0.97791930416158024</v>
      </c>
      <c r="BE48" s="614">
        <f t="shared" si="92"/>
        <v>5.8066389897498398</v>
      </c>
      <c r="BF48" s="614">
        <f t="shared" si="93"/>
        <v>6.2268362721968531</v>
      </c>
      <c r="BG48" s="9"/>
      <c r="BH48" s="4">
        <f t="shared" si="52"/>
        <v>97.791930416158024</v>
      </c>
      <c r="BI48" s="386">
        <f t="shared" si="53"/>
        <v>7.9706831210578463E-2</v>
      </c>
      <c r="BJ48" s="386">
        <f t="shared" si="54"/>
        <v>0.45126512410861619</v>
      </c>
      <c r="BK48" s="386">
        <f t="shared" si="94"/>
        <v>0.1161327797949968</v>
      </c>
      <c r="BL48" s="386">
        <f t="shared" si="95"/>
        <v>0.12453672544393707</v>
      </c>
      <c r="BM48" s="386">
        <f t="shared" si="55"/>
        <v>7.0926982627761764E-3</v>
      </c>
      <c r="BR48">
        <v>9.9975280000000009</v>
      </c>
      <c r="BS48">
        <v>7.7530000000000001</v>
      </c>
      <c r="BT48">
        <v>5.10853</v>
      </c>
      <c r="BU48">
        <v>92.034336419785248</v>
      </c>
      <c r="BV48">
        <v>3427.976173640001</v>
      </c>
    </row>
    <row r="49" spans="1:74" x14ac:dyDescent="0.2">
      <c r="A49" s="23" t="s">
        <v>72</v>
      </c>
      <c r="B49" s="5">
        <f>Rdson2*1000</f>
        <v>5.7</v>
      </c>
      <c r="C49" s="484" t="s">
        <v>674</v>
      </c>
      <c r="D49" s="482" t="s">
        <v>768</v>
      </c>
      <c r="G49">
        <v>40</v>
      </c>
      <c r="H49" s="610">
        <f t="shared" si="59"/>
        <v>12</v>
      </c>
      <c r="I49" s="4" t="str">
        <f t="shared" si="60"/>
        <v>BUCK-BST</v>
      </c>
      <c r="J49">
        <f t="shared" si="43"/>
        <v>3</v>
      </c>
      <c r="K49" s="386">
        <f t="shared" si="96"/>
        <v>4.8</v>
      </c>
      <c r="L49" s="4">
        <f t="shared" si="61"/>
        <v>5.3333333333333321</v>
      </c>
      <c r="M49" s="4">
        <f t="shared" si="56"/>
        <v>4.9870129870129869</v>
      </c>
      <c r="N49" s="386">
        <f t="shared" si="62"/>
        <v>0.96250000000000002</v>
      </c>
      <c r="O49" s="386">
        <f t="shared" si="63"/>
        <v>3.7499999999999943E-2</v>
      </c>
      <c r="P49" s="4">
        <f t="shared" si="64"/>
        <v>0</v>
      </c>
      <c r="Q49" s="4">
        <f t="shared" si="65"/>
        <v>4.9870129870129869</v>
      </c>
      <c r="R49" s="386">
        <f t="shared" si="7"/>
        <v>8.3874544050886846E-2</v>
      </c>
      <c r="S49" s="386">
        <f t="shared" si="45"/>
        <v>0</v>
      </c>
      <c r="T49" s="386">
        <f t="shared" si="46"/>
        <v>8.3874544050886846E-2</v>
      </c>
      <c r="U49" s="4">
        <f t="shared" si="66"/>
        <v>0.94745044074206652</v>
      </c>
      <c r="V49" s="386">
        <f t="shared" si="9"/>
        <v>1.7953246753246723E-3</v>
      </c>
      <c r="W49" s="386">
        <f t="shared" si="47"/>
        <v>1.7953246753246723E-3</v>
      </c>
      <c r="X49" s="4">
        <f t="shared" si="67"/>
        <v>0</v>
      </c>
      <c r="Y49" s="386">
        <f t="shared" si="11"/>
        <v>0</v>
      </c>
      <c r="Z49" s="603">
        <f t="shared" si="48"/>
        <v>0</v>
      </c>
      <c r="AA49" s="386">
        <f t="shared" si="68"/>
        <v>4.8926130378012056</v>
      </c>
      <c r="AB49" s="386">
        <f t="shared" si="69"/>
        <v>0.13644467532467536</v>
      </c>
      <c r="AC49" s="386">
        <f t="shared" si="70"/>
        <v>2.4640909090909085E-2</v>
      </c>
      <c r="AD49" s="386">
        <f t="shared" si="71"/>
        <v>0</v>
      </c>
      <c r="AE49" s="386">
        <f t="shared" si="72"/>
        <v>0.16560476201259003</v>
      </c>
      <c r="AF49" s="386">
        <f t="shared" si="73"/>
        <v>0.96573091230106989</v>
      </c>
      <c r="AG49" s="386">
        <f t="shared" si="74"/>
        <v>5.3160263113509838E-3</v>
      </c>
      <c r="AH49" s="386">
        <f t="shared" si="75"/>
        <v>4.8000000000000001E-2</v>
      </c>
      <c r="AI49" s="386">
        <f t="shared" si="76"/>
        <v>5.3372772523960409E-2</v>
      </c>
      <c r="AJ49" s="386">
        <f t="shared" si="77"/>
        <v>0.96573091230106933</v>
      </c>
      <c r="AK49" s="386">
        <f t="shared" si="78"/>
        <v>1.7720087704503258E-3</v>
      </c>
      <c r="AL49" s="386">
        <f t="shared" si="79"/>
        <v>5.7488094717986812E-2</v>
      </c>
      <c r="AM49" s="386">
        <f t="shared" si="80"/>
        <v>0</v>
      </c>
      <c r="AN49" s="386">
        <f t="shared" si="81"/>
        <v>5.9281112818804535E-2</v>
      </c>
      <c r="AO49" s="386">
        <f t="shared" si="49"/>
        <v>4.8926130378012056</v>
      </c>
      <c r="AP49" s="386">
        <f t="shared" si="82"/>
        <v>4.5481558441558448E-2</v>
      </c>
      <c r="AQ49" s="386">
        <f t="shared" si="83"/>
        <v>5.3333333333333323E-2</v>
      </c>
      <c r="AR49" s="386">
        <f t="shared" si="84"/>
        <v>9.9721994115546775E-2</v>
      </c>
      <c r="AS49" s="386">
        <f t="shared" si="85"/>
        <v>0</v>
      </c>
      <c r="AT49" s="386">
        <f t="shared" si="86"/>
        <v>0</v>
      </c>
      <c r="AU49" s="386">
        <f t="shared" si="87"/>
        <v>8.7213815999999986E-2</v>
      </c>
      <c r="AV49" s="386">
        <f t="shared" si="88"/>
        <v>7.4610895597908497E-3</v>
      </c>
      <c r="AW49" s="386">
        <f t="shared" si="33"/>
        <v>0.59328000000000003</v>
      </c>
      <c r="AX49" s="386">
        <f t="shared" si="89"/>
        <v>3.6000000000000004E-2</v>
      </c>
      <c r="AY49" s="386">
        <f t="shared" si="90"/>
        <v>9.8999999999999977E-2</v>
      </c>
      <c r="AZ49" s="386">
        <f t="shared" si="36"/>
        <v>4.3499999999999997E-2</v>
      </c>
      <c r="BA49" s="386">
        <f t="shared" si="57"/>
        <v>0.13499999999999998</v>
      </c>
      <c r="BB49" s="386">
        <f t="shared" si="58"/>
        <v>1.2866054157569042</v>
      </c>
      <c r="BC49">
        <f t="shared" si="91"/>
        <v>57.599999999999994</v>
      </c>
      <c r="BD49" s="604">
        <f t="shared" si="51"/>
        <v>0.97815113629537509</v>
      </c>
      <c r="BE49" s="614">
        <f t="shared" si="92"/>
        <v>5.8421115689402265</v>
      </c>
      <c r="BF49" s="614">
        <f t="shared" si="93"/>
        <v>6.4251276697773392</v>
      </c>
      <c r="BG49" s="9"/>
      <c r="BH49" s="4">
        <f t="shared" si="52"/>
        <v>97.815113629537507</v>
      </c>
      <c r="BI49" s="386">
        <f t="shared" si="53"/>
        <v>8.3874544050886846E-2</v>
      </c>
      <c r="BJ49" s="386">
        <f t="shared" si="54"/>
        <v>0.46519445747090177</v>
      </c>
      <c r="BK49" s="386">
        <f t="shared" si="94"/>
        <v>0.11684223137880453</v>
      </c>
      <c r="BL49" s="386">
        <f t="shared" si="95"/>
        <v>0.12850255339554678</v>
      </c>
      <c r="BM49" s="386">
        <f t="shared" si="55"/>
        <v>7.4610895597908497E-3</v>
      </c>
      <c r="BR49">
        <v>9.9970090000000003</v>
      </c>
      <c r="BS49">
        <v>8.6120000000000001</v>
      </c>
      <c r="BT49">
        <v>5.1085419999999999</v>
      </c>
      <c r="BU49">
        <v>91.346378256658895</v>
      </c>
      <c r="BV49">
        <v>4167.8065612820019</v>
      </c>
    </row>
    <row r="50" spans="1:74" x14ac:dyDescent="0.2">
      <c r="A50" s="23" t="s">
        <v>84</v>
      </c>
      <c r="B50" s="5">
        <f>RdsonBotTc*1000000</f>
        <v>4000</v>
      </c>
      <c r="C50" s="482" t="s">
        <v>85</v>
      </c>
      <c r="D50" s="21" t="s">
        <v>108</v>
      </c>
      <c r="G50">
        <v>41</v>
      </c>
      <c r="H50" s="610">
        <f t="shared" si="59"/>
        <v>12</v>
      </c>
      <c r="I50" s="4" t="str">
        <f t="shared" si="60"/>
        <v>BUCK-BST</v>
      </c>
      <c r="J50">
        <f t="shared" si="43"/>
        <v>3</v>
      </c>
      <c r="K50" s="386">
        <f t="shared" si="96"/>
        <v>4.92</v>
      </c>
      <c r="L50" s="4">
        <f t="shared" si="61"/>
        <v>5.4666666666666659</v>
      </c>
      <c r="M50" s="4">
        <f t="shared" si="56"/>
        <v>5.1116883116883116</v>
      </c>
      <c r="N50" s="386">
        <f t="shared" si="62"/>
        <v>0.96250000000000002</v>
      </c>
      <c r="O50" s="386">
        <f t="shared" si="63"/>
        <v>3.7499999999999943E-2</v>
      </c>
      <c r="P50" s="4">
        <f t="shared" si="64"/>
        <v>0</v>
      </c>
      <c r="Q50" s="4">
        <f t="shared" si="65"/>
        <v>5.1116883116883116</v>
      </c>
      <c r="R50" s="386">
        <f t="shared" si="7"/>
        <v>8.8150636901098395E-2</v>
      </c>
      <c r="S50" s="386">
        <f t="shared" si="45"/>
        <v>0</v>
      </c>
      <c r="T50" s="386">
        <f t="shared" si="46"/>
        <v>8.8150636901098395E-2</v>
      </c>
      <c r="U50" s="4">
        <f t="shared" si="66"/>
        <v>0.97113670176061828</v>
      </c>
      <c r="V50" s="386">
        <f t="shared" si="9"/>
        <v>1.8862129870129841E-3</v>
      </c>
      <c r="W50" s="386">
        <f t="shared" si="47"/>
        <v>1.8862129870129841E-3</v>
      </c>
      <c r="X50" s="4">
        <f t="shared" si="67"/>
        <v>0</v>
      </c>
      <c r="Y50" s="386">
        <f t="shared" si="11"/>
        <v>0</v>
      </c>
      <c r="Z50" s="603">
        <f t="shared" si="48"/>
        <v>0</v>
      </c>
      <c r="AA50" s="386">
        <f t="shared" si="68"/>
        <v>5.0149283637462352</v>
      </c>
      <c r="AB50" s="386">
        <f t="shared" si="69"/>
        <v>0.14335218701298702</v>
      </c>
      <c r="AC50" s="386">
        <f t="shared" si="70"/>
        <v>2.5256931818181817E-2</v>
      </c>
      <c r="AD50" s="386">
        <f t="shared" si="71"/>
        <v>0</v>
      </c>
      <c r="AE50" s="386">
        <f t="shared" si="72"/>
        <v>0.1735859025852115</v>
      </c>
      <c r="AF50" s="386">
        <f t="shared" si="73"/>
        <v>0.9898741851085967</v>
      </c>
      <c r="AG50" s="386">
        <f t="shared" si="74"/>
        <v>5.5851501433631283E-3</v>
      </c>
      <c r="AH50" s="386">
        <f t="shared" si="75"/>
        <v>4.9200000000000001E-2</v>
      </c>
      <c r="AI50" s="386">
        <f t="shared" si="76"/>
        <v>5.4846415236146952E-2</v>
      </c>
      <c r="AJ50" s="386">
        <f t="shared" si="77"/>
        <v>0.98987418510859615</v>
      </c>
      <c r="AK50" s="386">
        <f t="shared" si="78"/>
        <v>1.8617167144543739E-3</v>
      </c>
      <c r="AL50" s="386">
        <f t="shared" si="79"/>
        <v>5.7488094717986812E-2</v>
      </c>
      <c r="AM50" s="386">
        <f t="shared" si="80"/>
        <v>0</v>
      </c>
      <c r="AN50" s="386">
        <f t="shared" si="81"/>
        <v>5.9371918170926789E-2</v>
      </c>
      <c r="AO50" s="386">
        <f t="shared" si="49"/>
        <v>5.0149283637462352</v>
      </c>
      <c r="AP50" s="386">
        <f t="shared" si="82"/>
        <v>4.7784062337662338E-2</v>
      </c>
      <c r="AQ50" s="386">
        <f t="shared" si="83"/>
        <v>5.4666666666666662E-2</v>
      </c>
      <c r="AR50" s="386">
        <f t="shared" si="84"/>
        <v>0.10343927879353564</v>
      </c>
      <c r="AS50" s="386">
        <f t="shared" si="85"/>
        <v>0</v>
      </c>
      <c r="AT50" s="386">
        <f t="shared" si="86"/>
        <v>0</v>
      </c>
      <c r="AU50" s="386">
        <f t="shared" si="87"/>
        <v>8.8154452934999988E-2</v>
      </c>
      <c r="AV50" s="386">
        <f t="shared" si="88"/>
        <v>7.8388072187552636E-3</v>
      </c>
      <c r="AW50" s="386">
        <f t="shared" si="33"/>
        <v>0.59328000000000003</v>
      </c>
      <c r="AX50" s="386">
        <f t="shared" si="89"/>
        <v>3.6000000000000004E-2</v>
      </c>
      <c r="AY50" s="386">
        <f t="shared" si="90"/>
        <v>9.8999999999999977E-2</v>
      </c>
      <c r="AZ50" s="386">
        <f t="shared" si="36"/>
        <v>4.3499999999999997E-2</v>
      </c>
      <c r="BA50" s="386">
        <f t="shared" si="57"/>
        <v>0.13499999999999998</v>
      </c>
      <c r="BB50" s="386">
        <f t="shared" si="58"/>
        <v>1.3055536248276876</v>
      </c>
      <c r="BC50">
        <f t="shared" si="91"/>
        <v>59.04</v>
      </c>
      <c r="BD50" s="604">
        <f t="shared" si="51"/>
        <v>0.97836537165696746</v>
      </c>
      <c r="BE50" s="614">
        <f t="shared" si="92"/>
        <v>5.8776928554013397</v>
      </c>
      <c r="BF50" s="614">
        <f t="shared" si="93"/>
        <v>6.6265124131042823</v>
      </c>
      <c r="BG50" s="9"/>
      <c r="BH50" s="4">
        <f t="shared" si="52"/>
        <v>97.83653716569674</v>
      </c>
      <c r="BI50" s="386">
        <f t="shared" si="53"/>
        <v>8.8150636901098395E-2</v>
      </c>
      <c r="BJ50" s="386">
        <f t="shared" si="54"/>
        <v>0.47939796772082088</v>
      </c>
      <c r="BK50" s="386">
        <f t="shared" si="94"/>
        <v>0.11755385710802679</v>
      </c>
      <c r="BL50" s="386">
        <f t="shared" si="95"/>
        <v>0.13253024826208565</v>
      </c>
      <c r="BM50" s="386">
        <f t="shared" si="55"/>
        <v>7.8388072187552636E-3</v>
      </c>
      <c r="BR50">
        <v>9.9969590000000004</v>
      </c>
      <c r="BS50">
        <v>9.5229999999999997</v>
      </c>
      <c r="BT50">
        <v>5.1087540000000002</v>
      </c>
      <c r="BU50">
        <v>90.547826191651922</v>
      </c>
      <c r="BV50">
        <v>5078.5816240809982</v>
      </c>
    </row>
    <row r="51" spans="1:74" x14ac:dyDescent="0.2">
      <c r="A51" s="23" t="s">
        <v>71</v>
      </c>
      <c r="B51" s="5">
        <f>Qg_Q2*1000000000</f>
        <v>11</v>
      </c>
      <c r="C51" s="482" t="s">
        <v>69</v>
      </c>
      <c r="D51" s="21" t="s">
        <v>103</v>
      </c>
      <c r="G51">
        <v>42</v>
      </c>
      <c r="H51" s="610">
        <f t="shared" si="59"/>
        <v>12</v>
      </c>
      <c r="I51" s="4" t="str">
        <f t="shared" si="60"/>
        <v>BUCK-BST</v>
      </c>
      <c r="J51">
        <f t="shared" si="43"/>
        <v>3</v>
      </c>
      <c r="K51" s="386">
        <f t="shared" si="96"/>
        <v>5.04</v>
      </c>
      <c r="L51" s="4">
        <f t="shared" si="61"/>
        <v>5.6</v>
      </c>
      <c r="M51" s="4">
        <f t="shared" si="56"/>
        <v>5.2363636363636363</v>
      </c>
      <c r="N51" s="386">
        <f t="shared" si="62"/>
        <v>0.96250000000000002</v>
      </c>
      <c r="O51" s="386">
        <f t="shared" si="63"/>
        <v>3.7499999999999943E-2</v>
      </c>
      <c r="P51" s="4">
        <f t="shared" si="64"/>
        <v>0</v>
      </c>
      <c r="Q51" s="4">
        <f t="shared" si="65"/>
        <v>5.2363636363636363</v>
      </c>
      <c r="R51" s="386">
        <f t="shared" si="7"/>
        <v>9.2535327955317728E-2</v>
      </c>
      <c r="S51" s="386">
        <f t="shared" si="45"/>
        <v>0</v>
      </c>
      <c r="T51" s="386">
        <f t="shared" si="46"/>
        <v>9.2535327955317728E-2</v>
      </c>
      <c r="U51" s="4">
        <f t="shared" si="66"/>
        <v>0.99482296277916993</v>
      </c>
      <c r="V51" s="386">
        <f t="shared" si="9"/>
        <v>1.9793454545454516E-3</v>
      </c>
      <c r="W51" s="386">
        <f t="shared" si="47"/>
        <v>1.9793454545454516E-3</v>
      </c>
      <c r="X51" s="4">
        <f t="shared" si="67"/>
        <v>0</v>
      </c>
      <c r="Y51" s="386">
        <f t="shared" si="11"/>
        <v>0</v>
      </c>
      <c r="Z51" s="603">
        <f t="shared" si="48"/>
        <v>0</v>
      </c>
      <c r="AA51" s="386">
        <f t="shared" si="68"/>
        <v>5.1372436896912657</v>
      </c>
      <c r="AB51" s="386">
        <f t="shared" si="69"/>
        <v>0.15043025454545456</v>
      </c>
      <c r="AC51" s="386">
        <f t="shared" si="70"/>
        <v>2.5872954545454546E-2</v>
      </c>
      <c r="AD51" s="386">
        <f t="shared" si="71"/>
        <v>0</v>
      </c>
      <c r="AE51" s="386">
        <f t="shared" si="72"/>
        <v>0.18177201106980304</v>
      </c>
      <c r="AF51" s="386">
        <f t="shared" si="73"/>
        <v>1.0140174579161234</v>
      </c>
      <c r="AG51" s="386">
        <f t="shared" si="74"/>
        <v>5.8609190082644603E-3</v>
      </c>
      <c r="AH51" s="386">
        <f t="shared" si="75"/>
        <v>5.04E-2</v>
      </c>
      <c r="AI51" s="386">
        <f t="shared" si="76"/>
        <v>5.6326944540251139E-2</v>
      </c>
      <c r="AJ51" s="386">
        <f t="shared" si="77"/>
        <v>1.0140174579161227</v>
      </c>
      <c r="AK51" s="386">
        <f t="shared" si="78"/>
        <v>1.953639669421484E-3</v>
      </c>
      <c r="AL51" s="386">
        <f t="shared" si="79"/>
        <v>5.7488094717986812E-2</v>
      </c>
      <c r="AM51" s="386">
        <f t="shared" si="80"/>
        <v>0</v>
      </c>
      <c r="AN51" s="386">
        <f t="shared" si="81"/>
        <v>5.9464969011888802E-2</v>
      </c>
      <c r="AO51" s="386">
        <f t="shared" si="49"/>
        <v>5.1372436896912657</v>
      </c>
      <c r="AP51" s="386">
        <f t="shared" si="82"/>
        <v>5.0143418181818181E-2</v>
      </c>
      <c r="AQ51" s="386">
        <f t="shared" si="83"/>
        <v>5.5999999999999994E-2</v>
      </c>
      <c r="AR51" s="386">
        <f t="shared" si="84"/>
        <v>0.10721868040753371</v>
      </c>
      <c r="AS51" s="386">
        <f t="shared" si="85"/>
        <v>0</v>
      </c>
      <c r="AT51" s="386">
        <f t="shared" si="86"/>
        <v>0</v>
      </c>
      <c r="AU51" s="386">
        <f t="shared" si="87"/>
        <v>8.9094982140000001E-2</v>
      </c>
      <c r="AV51" s="386">
        <f t="shared" si="88"/>
        <v>8.2258512396694121E-3</v>
      </c>
      <c r="AW51" s="386">
        <f t="shared" si="33"/>
        <v>0.59328000000000003</v>
      </c>
      <c r="AX51" s="386">
        <f t="shared" si="89"/>
        <v>3.6000000000000004E-2</v>
      </c>
      <c r="AY51" s="386">
        <f t="shared" si="90"/>
        <v>9.8999999999999977E-2</v>
      </c>
      <c r="AZ51" s="386">
        <f t="shared" si="36"/>
        <v>4.3499999999999997E-2</v>
      </c>
      <c r="BA51" s="386">
        <f t="shared" si="57"/>
        <v>0.13499999999999998</v>
      </c>
      <c r="BB51" s="386">
        <f t="shared" si="58"/>
        <v>1.3248981118190093</v>
      </c>
      <c r="BC51">
        <f t="shared" si="91"/>
        <v>60.480000000000004</v>
      </c>
      <c r="BD51" s="604">
        <f t="shared" si="51"/>
        <v>0.97856321825137593</v>
      </c>
      <c r="BE51" s="614">
        <f t="shared" si="92"/>
        <v>5.9133828612144406</v>
      </c>
      <c r="BF51" s="614">
        <f t="shared" si="93"/>
        <v>6.8310012256866868</v>
      </c>
      <c r="BG51" s="9"/>
      <c r="BH51" s="4">
        <f t="shared" si="52"/>
        <v>97.856321825137599</v>
      </c>
      <c r="BI51" s="386">
        <f t="shared" si="53"/>
        <v>9.2535327955317728E-2</v>
      </c>
      <c r="BJ51" s="386">
        <f t="shared" si="54"/>
        <v>0.49387758716947672</v>
      </c>
      <c r="BK51" s="386">
        <f t="shared" si="94"/>
        <v>0.11826765722428881</v>
      </c>
      <c r="BL51" s="386">
        <f t="shared" si="95"/>
        <v>0.13662002451373373</v>
      </c>
      <c r="BM51" s="386">
        <f t="shared" si="55"/>
        <v>8.2258512396694121E-3</v>
      </c>
      <c r="BR51">
        <v>9.9964639999999996</v>
      </c>
      <c r="BS51">
        <v>10.493</v>
      </c>
      <c r="BT51">
        <v>5.1092279999999999</v>
      </c>
      <c r="BU51">
        <v>89.626660259106615</v>
      </c>
      <c r="BV51">
        <v>6204.9221585439973</v>
      </c>
    </row>
    <row r="52" spans="1:74" x14ac:dyDescent="0.2">
      <c r="A52" s="23" t="s">
        <v>95</v>
      </c>
      <c r="B52" s="5">
        <f>Rgate2</f>
        <v>1.5</v>
      </c>
      <c r="C52" s="486" t="s">
        <v>120</v>
      </c>
      <c r="D52" s="21" t="s">
        <v>104</v>
      </c>
      <c r="G52">
        <v>43</v>
      </c>
      <c r="H52" s="610">
        <f t="shared" si="59"/>
        <v>12</v>
      </c>
      <c r="I52" s="4" t="str">
        <f t="shared" si="60"/>
        <v>BUCK-BST</v>
      </c>
      <c r="J52">
        <f t="shared" si="43"/>
        <v>3</v>
      </c>
      <c r="K52" s="386">
        <f t="shared" si="96"/>
        <v>5.16</v>
      </c>
      <c r="L52" s="4">
        <f t="shared" si="61"/>
        <v>5.7333333333333334</v>
      </c>
      <c r="M52" s="4">
        <f t="shared" si="56"/>
        <v>5.361038961038961</v>
      </c>
      <c r="N52" s="386">
        <f t="shared" si="62"/>
        <v>0.96250000000000002</v>
      </c>
      <c r="O52" s="386">
        <f t="shared" si="63"/>
        <v>3.7499999999999943E-2</v>
      </c>
      <c r="P52" s="4">
        <f t="shared" si="64"/>
        <v>0</v>
      </c>
      <c r="Q52" s="4">
        <f t="shared" si="65"/>
        <v>5.361038961038961</v>
      </c>
      <c r="R52" s="386">
        <f t="shared" si="7"/>
        <v>9.7028841178986358E-2</v>
      </c>
      <c r="S52" s="386">
        <f t="shared" si="45"/>
        <v>0</v>
      </c>
      <c r="T52" s="386">
        <f t="shared" si="46"/>
        <v>9.7028841178986358E-2</v>
      </c>
      <c r="U52" s="4">
        <f t="shared" si="66"/>
        <v>1.0185092237977216</v>
      </c>
      <c r="V52" s="386">
        <f t="shared" si="9"/>
        <v>2.0747220779220744E-3</v>
      </c>
      <c r="W52" s="386">
        <f t="shared" si="47"/>
        <v>2.0747220779220744E-3</v>
      </c>
      <c r="X52" s="4">
        <f t="shared" si="67"/>
        <v>0</v>
      </c>
      <c r="Y52" s="386">
        <f t="shared" si="11"/>
        <v>0</v>
      </c>
      <c r="Z52" s="603">
        <f t="shared" si="48"/>
        <v>0</v>
      </c>
      <c r="AA52" s="386">
        <f t="shared" si="68"/>
        <v>5.2595590156362961</v>
      </c>
      <c r="AB52" s="386">
        <f t="shared" si="69"/>
        <v>0.15767887792207796</v>
      </c>
      <c r="AC52" s="386">
        <f t="shared" si="70"/>
        <v>2.6488977272727272E-2</v>
      </c>
      <c r="AD52" s="386">
        <f t="shared" si="71"/>
        <v>0</v>
      </c>
      <c r="AE52" s="386">
        <f t="shared" si="72"/>
        <v>0.19016485126845087</v>
      </c>
      <c r="AF52" s="386">
        <f t="shared" si="73"/>
        <v>1.0381607307236502</v>
      </c>
      <c r="AG52" s="386">
        <f t="shared" si="74"/>
        <v>6.1433329060549807E-3</v>
      </c>
      <c r="AH52" s="386">
        <f t="shared" si="75"/>
        <v>5.16E-2</v>
      </c>
      <c r="AI52" s="386">
        <f t="shared" si="76"/>
        <v>5.7814367487300483E-2</v>
      </c>
      <c r="AJ52" s="386">
        <f t="shared" si="77"/>
        <v>1.0381607307236496</v>
      </c>
      <c r="AK52" s="386">
        <f t="shared" si="78"/>
        <v>2.0477776353516578E-3</v>
      </c>
      <c r="AL52" s="386">
        <f t="shared" si="79"/>
        <v>5.7488094717986812E-2</v>
      </c>
      <c r="AM52" s="386">
        <f t="shared" si="80"/>
        <v>0</v>
      </c>
      <c r="AN52" s="386">
        <f t="shared" si="81"/>
        <v>5.9560265589304349E-2</v>
      </c>
      <c r="AO52" s="386">
        <f t="shared" si="49"/>
        <v>5.2595590156362961</v>
      </c>
      <c r="AP52" s="386">
        <f t="shared" si="82"/>
        <v>5.2559625974025984E-2</v>
      </c>
      <c r="AQ52" s="386">
        <f t="shared" si="83"/>
        <v>5.7333333333333333E-2</v>
      </c>
      <c r="AR52" s="386">
        <f t="shared" si="84"/>
        <v>0.11106041811468466</v>
      </c>
      <c r="AS52" s="386">
        <f t="shared" si="85"/>
        <v>0</v>
      </c>
      <c r="AT52" s="386">
        <f t="shared" si="86"/>
        <v>0</v>
      </c>
      <c r="AU52" s="386">
        <f t="shared" si="87"/>
        <v>9.0035403614999981E-2</v>
      </c>
      <c r="AV52" s="386">
        <f t="shared" si="88"/>
        <v>8.622221622533302E-3</v>
      </c>
      <c r="AW52" s="386">
        <f t="shared" si="33"/>
        <v>0.59328000000000003</v>
      </c>
      <c r="AX52" s="386">
        <f t="shared" si="89"/>
        <v>3.6000000000000004E-2</v>
      </c>
      <c r="AY52" s="386">
        <f t="shared" si="90"/>
        <v>9.8999999999999977E-2</v>
      </c>
      <c r="AZ52" s="386">
        <f t="shared" si="36"/>
        <v>4.3499999999999997E-2</v>
      </c>
      <c r="BA52" s="386">
        <f t="shared" si="57"/>
        <v>0.13499999999999998</v>
      </c>
      <c r="BB52" s="386">
        <f t="shared" si="58"/>
        <v>1.3446410909541822</v>
      </c>
      <c r="BC52">
        <f t="shared" si="91"/>
        <v>61.92</v>
      </c>
      <c r="BD52" s="604">
        <f t="shared" si="51"/>
        <v>0.97874577223917192</v>
      </c>
      <c r="BE52" s="614">
        <f t="shared" si="92"/>
        <v>5.9491815987602168</v>
      </c>
      <c r="BF52" s="614">
        <f t="shared" si="93"/>
        <v>7.0386050653817325</v>
      </c>
      <c r="BG52" s="9"/>
      <c r="BH52" s="4">
        <f t="shared" si="52"/>
        <v>97.874577223917186</v>
      </c>
      <c r="BI52" s="386">
        <f t="shared" si="53"/>
        <v>9.7028841178986358E-2</v>
      </c>
      <c r="BJ52" s="386">
        <f t="shared" si="54"/>
        <v>0.50863530607474028</v>
      </c>
      <c r="BK52" s="386">
        <f t="shared" si="94"/>
        <v>0.11898363197520434</v>
      </c>
      <c r="BL52" s="386">
        <f t="shared" si="95"/>
        <v>0.14077210130763465</v>
      </c>
      <c r="BM52" s="386">
        <f t="shared" si="55"/>
        <v>8.622221622533302E-3</v>
      </c>
      <c r="BR52">
        <v>9.9959819999999997</v>
      </c>
      <c r="BS52">
        <v>11.519</v>
      </c>
      <c r="BT52">
        <v>5.1101260000000002</v>
      </c>
      <c r="BU52">
        <v>88.591390420220321</v>
      </c>
      <c r="BV52">
        <v>7580.3207309739973</v>
      </c>
    </row>
    <row r="53" spans="1:74" x14ac:dyDescent="0.2">
      <c r="A53" s="23" t="s">
        <v>76</v>
      </c>
      <c r="B53" s="5">
        <f>Vsd_Q2</f>
        <v>0.8</v>
      </c>
      <c r="C53" s="482" t="s">
        <v>0</v>
      </c>
      <c r="D53" s="21" t="s">
        <v>109</v>
      </c>
      <c r="G53">
        <v>44</v>
      </c>
      <c r="H53" s="610">
        <f t="shared" si="59"/>
        <v>12</v>
      </c>
      <c r="I53" s="4" t="str">
        <f t="shared" si="60"/>
        <v>BUCK-BST</v>
      </c>
      <c r="J53">
        <f t="shared" si="43"/>
        <v>3</v>
      </c>
      <c r="K53" s="386">
        <f t="shared" si="96"/>
        <v>5.28</v>
      </c>
      <c r="L53" s="4">
        <f t="shared" si="61"/>
        <v>5.8666666666666663</v>
      </c>
      <c r="M53" s="4">
        <f t="shared" si="56"/>
        <v>5.4857142857142858</v>
      </c>
      <c r="N53" s="386">
        <f t="shared" si="62"/>
        <v>0.96250000000000002</v>
      </c>
      <c r="O53" s="386">
        <f t="shared" si="63"/>
        <v>3.7499999999999943E-2</v>
      </c>
      <c r="P53" s="4">
        <f t="shared" si="64"/>
        <v>0</v>
      </c>
      <c r="Q53" s="4">
        <f t="shared" si="65"/>
        <v>5.4857142857142858</v>
      </c>
      <c r="R53" s="386">
        <f t="shared" si="7"/>
        <v>0.10163140633775263</v>
      </c>
      <c r="S53" s="386">
        <f t="shared" si="45"/>
        <v>0</v>
      </c>
      <c r="T53" s="386">
        <f t="shared" si="46"/>
        <v>0.10163140633775263</v>
      </c>
      <c r="U53" s="4">
        <f t="shared" si="66"/>
        <v>1.0421954848162733</v>
      </c>
      <c r="V53" s="386">
        <f t="shared" si="9"/>
        <v>2.1723428571428539E-3</v>
      </c>
      <c r="W53" s="386">
        <f t="shared" si="47"/>
        <v>2.1723428571428539E-3</v>
      </c>
      <c r="X53" s="4">
        <f t="shared" si="67"/>
        <v>0</v>
      </c>
      <c r="Y53" s="386">
        <f t="shared" si="11"/>
        <v>0</v>
      </c>
      <c r="Z53" s="603">
        <f t="shared" si="48"/>
        <v>0</v>
      </c>
      <c r="AA53" s="386">
        <f t="shared" si="68"/>
        <v>5.3818743415813257</v>
      </c>
      <c r="AB53" s="386">
        <f t="shared" si="69"/>
        <v>0.16509805714285714</v>
      </c>
      <c r="AC53" s="386">
        <f t="shared" si="70"/>
        <v>2.7104999999999997E-2</v>
      </c>
      <c r="AD53" s="386">
        <f t="shared" si="71"/>
        <v>0</v>
      </c>
      <c r="AE53" s="386">
        <f t="shared" si="72"/>
        <v>0.19876624119213929</v>
      </c>
      <c r="AF53" s="386">
        <f t="shared" si="73"/>
        <v>1.062304003531177</v>
      </c>
      <c r="AG53" s="386">
        <f t="shared" si="74"/>
        <v>6.4323918367346928E-3</v>
      </c>
      <c r="AH53" s="386">
        <f t="shared" si="75"/>
        <v>5.2800000000000007E-2</v>
      </c>
      <c r="AI53" s="386">
        <f t="shared" si="76"/>
        <v>5.9308691184939782E-2</v>
      </c>
      <c r="AJ53" s="386">
        <f t="shared" si="77"/>
        <v>1.0623040035311764</v>
      </c>
      <c r="AK53" s="386">
        <f t="shared" si="78"/>
        <v>2.1441306122448943E-3</v>
      </c>
      <c r="AL53" s="386">
        <f t="shared" si="79"/>
        <v>5.7488094717986812E-2</v>
      </c>
      <c r="AM53" s="386">
        <f t="shared" si="80"/>
        <v>0</v>
      </c>
      <c r="AN53" s="386">
        <f t="shared" si="81"/>
        <v>5.9657808156777382E-2</v>
      </c>
      <c r="AO53" s="386">
        <f t="shared" si="49"/>
        <v>5.3818743415813257</v>
      </c>
      <c r="AP53" s="386">
        <f t="shared" si="82"/>
        <v>5.5032685714285712E-2</v>
      </c>
      <c r="AQ53" s="386">
        <f t="shared" si="83"/>
        <v>5.8666666666666666E-2</v>
      </c>
      <c r="AR53" s="386">
        <f t="shared" si="84"/>
        <v>0.11496471579547328</v>
      </c>
      <c r="AS53" s="386">
        <f t="shared" si="85"/>
        <v>0</v>
      </c>
      <c r="AT53" s="386">
        <f t="shared" si="86"/>
        <v>0</v>
      </c>
      <c r="AU53" s="386">
        <f t="shared" si="87"/>
        <v>9.0975717359999986E-2</v>
      </c>
      <c r="AV53" s="386">
        <f t="shared" si="88"/>
        <v>9.0279183673469317E-3</v>
      </c>
      <c r="AW53" s="386">
        <f t="shared" si="33"/>
        <v>0.59328000000000003</v>
      </c>
      <c r="AX53" s="386">
        <f t="shared" si="89"/>
        <v>3.6000000000000004E-2</v>
      </c>
      <c r="AY53" s="386">
        <f t="shared" si="90"/>
        <v>9.8999999999999977E-2</v>
      </c>
      <c r="AZ53" s="386">
        <f t="shared" si="36"/>
        <v>4.3499999999999997E-2</v>
      </c>
      <c r="BA53" s="386">
        <f t="shared" si="57"/>
        <v>0.13499999999999998</v>
      </c>
      <c r="BB53" s="386">
        <f t="shared" si="58"/>
        <v>1.3647848412515722</v>
      </c>
      <c r="BC53">
        <f t="shared" si="91"/>
        <v>63.36</v>
      </c>
      <c r="BD53" s="604">
        <f t="shared" si="51"/>
        <v>0.97891403046608894</v>
      </c>
      <c r="BE53" s="614">
        <f t="shared" si="92"/>
        <v>5.9850890807188684</v>
      </c>
      <c r="BF53" s="614">
        <f t="shared" si="93"/>
        <v>7.2493351262136647</v>
      </c>
      <c r="BG53" s="9"/>
      <c r="BH53" s="4">
        <f t="shared" si="52"/>
        <v>97.8914030466089</v>
      </c>
      <c r="BI53" s="386">
        <f t="shared" si="53"/>
        <v>0.10163140633775263</v>
      </c>
      <c r="BJ53" s="386">
        <f t="shared" si="54"/>
        <v>0.52367317368932975</v>
      </c>
      <c r="BK53" s="386">
        <f t="shared" si="94"/>
        <v>0.11970178161437738</v>
      </c>
      <c r="BL53" s="386">
        <f t="shared" si="95"/>
        <v>0.14498670252427329</v>
      </c>
      <c r="BM53" s="386">
        <f t="shared" si="55"/>
        <v>9.0279183673469317E-3</v>
      </c>
      <c r="BR53">
        <v>9.9955739999999995</v>
      </c>
      <c r="BS53">
        <v>12.605</v>
      </c>
      <c r="BT53">
        <v>5.1111979999999999</v>
      </c>
      <c r="BU53">
        <v>87.386508098290477</v>
      </c>
      <c r="BV53">
        <v>9299.4335961019988</v>
      </c>
    </row>
    <row r="54" spans="1:74" x14ac:dyDescent="0.2">
      <c r="A54" s="23" t="s">
        <v>77</v>
      </c>
      <c r="B54" s="5">
        <f>Qrr_Q2*1000000000</f>
        <v>62.999999999999993</v>
      </c>
      <c r="C54" s="482" t="s">
        <v>69</v>
      </c>
      <c r="D54" s="21" t="s">
        <v>114</v>
      </c>
      <c r="G54">
        <v>45</v>
      </c>
      <c r="H54" s="610">
        <f t="shared" si="59"/>
        <v>12</v>
      </c>
      <c r="I54" s="4" t="str">
        <f t="shared" si="60"/>
        <v>BUCK-BST</v>
      </c>
      <c r="J54">
        <f t="shared" si="43"/>
        <v>3</v>
      </c>
      <c r="K54" s="386">
        <f t="shared" si="96"/>
        <v>5.4</v>
      </c>
      <c r="L54" s="4">
        <f t="shared" si="61"/>
        <v>6.0000000000000009</v>
      </c>
      <c r="M54" s="4">
        <f t="shared" si="56"/>
        <v>5.6103896103896105</v>
      </c>
      <c r="N54" s="386">
        <f t="shared" si="62"/>
        <v>0.96250000000000002</v>
      </c>
      <c r="O54" s="386">
        <f t="shared" si="63"/>
        <v>3.7499999999999943E-2</v>
      </c>
      <c r="P54" s="4">
        <f t="shared" si="64"/>
        <v>0</v>
      </c>
      <c r="Q54" s="4">
        <f t="shared" si="65"/>
        <v>5.6103896103896105</v>
      </c>
      <c r="R54" s="386">
        <f t="shared" si="7"/>
        <v>0.10634325902713412</v>
      </c>
      <c r="S54" s="386">
        <f t="shared" si="45"/>
        <v>0</v>
      </c>
      <c r="T54" s="386">
        <f t="shared" si="46"/>
        <v>0.10634325902713412</v>
      </c>
      <c r="U54" s="4">
        <f t="shared" si="66"/>
        <v>1.0658817458348251</v>
      </c>
      <c r="V54" s="386">
        <f t="shared" si="9"/>
        <v>2.2722077922077894E-3</v>
      </c>
      <c r="W54" s="386">
        <f t="shared" si="47"/>
        <v>2.2722077922077894E-3</v>
      </c>
      <c r="X54" s="4">
        <f t="shared" si="67"/>
        <v>0</v>
      </c>
      <c r="Y54" s="386">
        <f t="shared" si="11"/>
        <v>0</v>
      </c>
      <c r="Z54" s="603">
        <f t="shared" si="48"/>
        <v>0</v>
      </c>
      <c r="AA54" s="386">
        <f t="shared" si="68"/>
        <v>5.5041896675263562</v>
      </c>
      <c r="AB54" s="386">
        <f t="shared" si="69"/>
        <v>0.17268779220779223</v>
      </c>
      <c r="AC54" s="386">
        <f t="shared" si="70"/>
        <v>2.772102272727273E-2</v>
      </c>
      <c r="AD54" s="386">
        <f t="shared" si="71"/>
        <v>0</v>
      </c>
      <c r="AE54" s="386">
        <f t="shared" si="72"/>
        <v>0.20757805411007674</v>
      </c>
      <c r="AF54" s="386">
        <f t="shared" si="73"/>
        <v>1.0864472763387036</v>
      </c>
      <c r="AG54" s="386">
        <f t="shared" si="74"/>
        <v>6.7280958003035898E-3</v>
      </c>
      <c r="AH54" s="386">
        <f t="shared" si="75"/>
        <v>5.4000000000000006E-2</v>
      </c>
      <c r="AI54" s="386">
        <f t="shared" si="76"/>
        <v>6.0809922797541785E-2</v>
      </c>
      <c r="AJ54" s="386">
        <f t="shared" si="77"/>
        <v>1.086447276338703</v>
      </c>
      <c r="AK54" s="386">
        <f t="shared" si="78"/>
        <v>2.2426986001011936E-3</v>
      </c>
      <c r="AL54" s="386">
        <f t="shared" si="79"/>
        <v>5.7488094717986812E-2</v>
      </c>
      <c r="AM54" s="386">
        <f t="shared" si="80"/>
        <v>0</v>
      </c>
      <c r="AN54" s="386">
        <f t="shared" si="81"/>
        <v>5.9757596973903759E-2</v>
      </c>
      <c r="AO54" s="386">
        <f t="shared" si="49"/>
        <v>5.5041896675263562</v>
      </c>
      <c r="AP54" s="386">
        <f t="shared" si="82"/>
        <v>5.7562597402597414E-2</v>
      </c>
      <c r="AQ54" s="386">
        <f t="shared" si="83"/>
        <v>6.0000000000000012E-2</v>
      </c>
      <c r="AR54" s="386">
        <f t="shared" si="84"/>
        <v>0.11893180209102361</v>
      </c>
      <c r="AS54" s="386">
        <f t="shared" si="85"/>
        <v>0</v>
      </c>
      <c r="AT54" s="386">
        <f t="shared" si="86"/>
        <v>0</v>
      </c>
      <c r="AU54" s="386">
        <f t="shared" si="87"/>
        <v>9.1915923374999986E-2</v>
      </c>
      <c r="AV54" s="386">
        <f t="shared" si="88"/>
        <v>9.442941474110296E-3</v>
      </c>
      <c r="AW54" s="386">
        <f t="shared" si="33"/>
        <v>0.59328000000000003</v>
      </c>
      <c r="AX54" s="386">
        <f t="shared" si="89"/>
        <v>3.6000000000000004E-2</v>
      </c>
      <c r="AY54" s="386">
        <f t="shared" si="90"/>
        <v>9.8999999999999977E-2</v>
      </c>
      <c r="AZ54" s="386">
        <f t="shared" si="36"/>
        <v>4.3499999999999997E-2</v>
      </c>
      <c r="BA54" s="386">
        <f t="shared" si="57"/>
        <v>0.13499999999999998</v>
      </c>
      <c r="BB54" s="386">
        <f t="shared" si="58"/>
        <v>1.3853317076409981</v>
      </c>
      <c r="BC54">
        <f t="shared" si="91"/>
        <v>64.800000000000011</v>
      </c>
      <c r="BD54" s="604">
        <f t="shared" si="51"/>
        <v>0.97906890134266611</v>
      </c>
      <c r="BE54" s="614">
        <f t="shared" si="92"/>
        <v>6.0211053200701876</v>
      </c>
      <c r="BF54" s="614">
        <f t="shared" si="93"/>
        <v>7.4632028402386812</v>
      </c>
      <c r="BG54" s="9"/>
      <c r="BH54" s="4">
        <f t="shared" si="52"/>
        <v>97.906890134266604</v>
      </c>
      <c r="BI54" s="386">
        <f t="shared" si="53"/>
        <v>0.10634325902713412</v>
      </c>
      <c r="BJ54" s="386">
        <f t="shared" si="54"/>
        <v>0.53899329934754592</v>
      </c>
      <c r="BK54" s="386">
        <f t="shared" si="94"/>
        <v>0.12042210640140374</v>
      </c>
      <c r="BL54" s="386">
        <f t="shared" si="95"/>
        <v>0.14926405680477361</v>
      </c>
      <c r="BM54" s="386">
        <f t="shared" si="55"/>
        <v>9.442941474110296E-3</v>
      </c>
      <c r="BR54">
        <v>9.9949670000000008</v>
      </c>
      <c r="BS54">
        <v>13.75</v>
      </c>
      <c r="BT54">
        <v>5.1122329999999998</v>
      </c>
      <c r="BU54">
        <v>85.985113444924963</v>
      </c>
      <c r="BV54">
        <v>11457.230537720005</v>
      </c>
    </row>
    <row r="55" spans="1:74" x14ac:dyDescent="0.2">
      <c r="A55" s="23" t="s">
        <v>78</v>
      </c>
      <c r="B55" s="5">
        <f>Trr_Q2*1000000000</f>
        <v>40</v>
      </c>
      <c r="C55" s="482" t="s">
        <v>79</v>
      </c>
      <c r="D55" s="76" t="s">
        <v>110</v>
      </c>
      <c r="G55">
        <v>46</v>
      </c>
      <c r="H55" s="610">
        <f t="shared" si="59"/>
        <v>12</v>
      </c>
      <c r="I55" s="4" t="str">
        <f t="shared" si="60"/>
        <v>BUCK-BST</v>
      </c>
      <c r="J55">
        <f t="shared" si="43"/>
        <v>3</v>
      </c>
      <c r="K55" s="386">
        <f t="shared" si="96"/>
        <v>5.52</v>
      </c>
      <c r="L55" s="4">
        <f t="shared" si="61"/>
        <v>6.1333333333333329</v>
      </c>
      <c r="M55" s="4">
        <f t="shared" si="56"/>
        <v>5.7350649350649343</v>
      </c>
      <c r="N55" s="386">
        <f t="shared" si="62"/>
        <v>0.96250000000000002</v>
      </c>
      <c r="O55" s="386">
        <f t="shared" si="63"/>
        <v>3.7499999999999943E-2</v>
      </c>
      <c r="P55" s="4">
        <f t="shared" si="64"/>
        <v>0</v>
      </c>
      <c r="Q55" s="4">
        <f t="shared" si="65"/>
        <v>5.7350649350649343</v>
      </c>
      <c r="R55" s="386">
        <f t="shared" si="7"/>
        <v>0.11116464070297924</v>
      </c>
      <c r="S55" s="386">
        <f t="shared" si="45"/>
        <v>0</v>
      </c>
      <c r="T55" s="386">
        <f t="shared" si="46"/>
        <v>0.11116464070297924</v>
      </c>
      <c r="U55" s="4">
        <f t="shared" si="66"/>
        <v>1.0895680068533766</v>
      </c>
      <c r="V55" s="386">
        <f t="shared" si="9"/>
        <v>2.3743168831168796E-3</v>
      </c>
      <c r="W55" s="386">
        <f t="shared" si="47"/>
        <v>2.3743168831168796E-3</v>
      </c>
      <c r="X55" s="4">
        <f t="shared" si="67"/>
        <v>0</v>
      </c>
      <c r="Y55" s="386">
        <f t="shared" si="11"/>
        <v>0</v>
      </c>
      <c r="Z55" s="603">
        <f t="shared" si="48"/>
        <v>0</v>
      </c>
      <c r="AA55" s="386">
        <f t="shared" si="68"/>
        <v>5.6265049934713858</v>
      </c>
      <c r="AB55" s="386">
        <f t="shared" si="69"/>
        <v>0.18044808311688312</v>
      </c>
      <c r="AC55" s="386">
        <f t="shared" si="70"/>
        <v>2.8337045454545448E-2</v>
      </c>
      <c r="AD55" s="386">
        <f t="shared" si="71"/>
        <v>0</v>
      </c>
      <c r="AE55" s="386">
        <f t="shared" si="72"/>
        <v>0.21660221963793402</v>
      </c>
      <c r="AF55" s="386">
        <f t="shared" si="73"/>
        <v>1.1105905491462302</v>
      </c>
      <c r="AG55" s="386">
        <f t="shared" si="74"/>
        <v>7.0304447967616743E-3</v>
      </c>
      <c r="AH55" s="386">
        <f t="shared" si="75"/>
        <v>5.5199999999999999E-2</v>
      </c>
      <c r="AI55" s="386">
        <f t="shared" si="76"/>
        <v>6.2318069546318904E-2</v>
      </c>
      <c r="AJ55" s="386">
        <f t="shared" si="77"/>
        <v>1.1105905491462296</v>
      </c>
      <c r="AK55" s="386">
        <f t="shared" si="78"/>
        <v>2.3434815989205552E-3</v>
      </c>
      <c r="AL55" s="386">
        <f t="shared" si="79"/>
        <v>5.7488094717986812E-2</v>
      </c>
      <c r="AM55" s="386">
        <f t="shared" si="80"/>
        <v>0</v>
      </c>
      <c r="AN55" s="386">
        <f t="shared" si="81"/>
        <v>5.9859632306272947E-2</v>
      </c>
      <c r="AO55" s="386">
        <f t="shared" si="49"/>
        <v>5.6265049934713858</v>
      </c>
      <c r="AP55" s="386">
        <f t="shared" si="82"/>
        <v>6.0149361038961034E-2</v>
      </c>
      <c r="AQ55" s="386">
        <f t="shared" si="83"/>
        <v>6.133333333333333E-2</v>
      </c>
      <c r="AR55" s="386">
        <f t="shared" si="84"/>
        <v>0.12296191044132955</v>
      </c>
      <c r="AS55" s="386">
        <f t="shared" si="85"/>
        <v>0</v>
      </c>
      <c r="AT55" s="386">
        <f t="shared" si="86"/>
        <v>0</v>
      </c>
      <c r="AU55" s="386">
        <f t="shared" si="87"/>
        <v>9.2856021659999982E-2</v>
      </c>
      <c r="AV55" s="386">
        <f t="shared" si="88"/>
        <v>9.8672909428233948E-3</v>
      </c>
      <c r="AW55" s="386">
        <f t="shared" si="33"/>
        <v>0.59328000000000003</v>
      </c>
      <c r="AX55" s="386">
        <f t="shared" si="89"/>
        <v>3.6000000000000004E-2</v>
      </c>
      <c r="AY55" s="386">
        <f t="shared" si="90"/>
        <v>9.8999999999999977E-2</v>
      </c>
      <c r="AZ55" s="386">
        <f t="shared" si="36"/>
        <v>4.3499999999999997E-2</v>
      </c>
      <c r="BA55" s="386">
        <f t="shared" si="57"/>
        <v>0.13499999999999998</v>
      </c>
      <c r="BB55" s="386">
        <f t="shared" si="58"/>
        <v>1.4062841021207748</v>
      </c>
      <c r="BC55">
        <f t="shared" si="91"/>
        <v>66.239999999999995</v>
      </c>
      <c r="BD55" s="604">
        <f t="shared" si="51"/>
        <v>0.97921121432187153</v>
      </c>
      <c r="BE55" s="614">
        <f t="shared" si="92"/>
        <v>6.0572303300936463</v>
      </c>
      <c r="BF55" s="614">
        <f t="shared" si="93"/>
        <v>7.6802198794564775</v>
      </c>
      <c r="BG55" s="9"/>
      <c r="BH55" s="4">
        <f t="shared" si="52"/>
        <v>97.921121432187149</v>
      </c>
      <c r="BI55" s="386">
        <f t="shared" si="53"/>
        <v>0.11116464070297924</v>
      </c>
      <c r="BJ55" s="386">
        <f t="shared" si="54"/>
        <v>0.55459785359185543</v>
      </c>
      <c r="BK55" s="386">
        <f t="shared" si="94"/>
        <v>0.12114460660187293</v>
      </c>
      <c r="BL55" s="386">
        <f t="shared" si="95"/>
        <v>0.15360439758912955</v>
      </c>
      <c r="BM55" s="386">
        <f t="shared" si="55"/>
        <v>9.8672909428233948E-3</v>
      </c>
      <c r="BR55">
        <v>9.9943860000000004</v>
      </c>
      <c r="BS55">
        <v>14.954000000000001</v>
      </c>
      <c r="BT55">
        <v>5.1130310000000003</v>
      </c>
      <c r="BU55">
        <v>84.352650264578628</v>
      </c>
      <c r="BV55">
        <v>14183.318533699994</v>
      </c>
    </row>
    <row r="56" spans="1:74" ht="15.75" x14ac:dyDescent="0.3">
      <c r="A56" s="488" t="s">
        <v>679</v>
      </c>
      <c r="B56" s="5">
        <f>ThetaJA_Q2</f>
        <v>50</v>
      </c>
      <c r="C56" s="483" t="s">
        <v>241</v>
      </c>
      <c r="D56" s="76" t="s">
        <v>107</v>
      </c>
      <c r="E56" s="2"/>
      <c r="G56">
        <v>47</v>
      </c>
      <c r="H56" s="610">
        <f t="shared" si="59"/>
        <v>12</v>
      </c>
      <c r="I56" s="4" t="str">
        <f t="shared" si="60"/>
        <v>BUCK-BST</v>
      </c>
      <c r="J56">
        <f t="shared" si="43"/>
        <v>3</v>
      </c>
      <c r="K56" s="386">
        <f t="shared" si="96"/>
        <v>5.64</v>
      </c>
      <c r="L56" s="4">
        <f t="shared" si="61"/>
        <v>6.2666666666666657</v>
      </c>
      <c r="M56" s="4">
        <f t="shared" si="56"/>
        <v>5.859740259740259</v>
      </c>
      <c r="N56" s="386">
        <f t="shared" si="62"/>
        <v>0.96250000000000002</v>
      </c>
      <c r="O56" s="386">
        <f t="shared" si="63"/>
        <v>3.7499999999999943E-2</v>
      </c>
      <c r="P56" s="4">
        <f t="shared" si="64"/>
        <v>0</v>
      </c>
      <c r="Q56" s="4">
        <f t="shared" si="65"/>
        <v>5.859740259740259</v>
      </c>
      <c r="R56" s="386">
        <f t="shared" si="7"/>
        <v>0.11609579871273573</v>
      </c>
      <c r="S56" s="386">
        <f t="shared" si="45"/>
        <v>0</v>
      </c>
      <c r="T56" s="386">
        <f t="shared" si="46"/>
        <v>0.11609579871273573</v>
      </c>
      <c r="U56" s="4">
        <f t="shared" si="66"/>
        <v>1.1132542678719282</v>
      </c>
      <c r="V56" s="386">
        <f t="shared" si="9"/>
        <v>2.4786701298701256E-3</v>
      </c>
      <c r="W56" s="386">
        <f t="shared" si="47"/>
        <v>2.4786701298701256E-3</v>
      </c>
      <c r="X56" s="4">
        <f t="shared" si="67"/>
        <v>0</v>
      </c>
      <c r="Y56" s="386">
        <f t="shared" si="11"/>
        <v>0</v>
      </c>
      <c r="Z56" s="603">
        <f t="shared" si="48"/>
        <v>0</v>
      </c>
      <c r="AA56" s="386">
        <f t="shared" si="68"/>
        <v>5.7488203194164162</v>
      </c>
      <c r="AB56" s="386">
        <f t="shared" si="69"/>
        <v>0.18837892987012989</v>
      </c>
      <c r="AC56" s="386">
        <f t="shared" si="70"/>
        <v>2.8953068181818181E-2</v>
      </c>
      <c r="AD56" s="386">
        <f t="shared" si="71"/>
        <v>0</v>
      </c>
      <c r="AE56" s="386">
        <f t="shared" si="72"/>
        <v>0.22584072486622692</v>
      </c>
      <c r="AF56" s="386">
        <f t="shared" si="73"/>
        <v>1.134733821953757</v>
      </c>
      <c r="AG56" s="386">
        <f t="shared" si="74"/>
        <v>7.3394388261089506E-3</v>
      </c>
      <c r="AH56" s="386">
        <f t="shared" si="75"/>
        <v>5.6399999999999999E-2</v>
      </c>
      <c r="AI56" s="386">
        <f t="shared" si="76"/>
        <v>6.3833138709436243E-2</v>
      </c>
      <c r="AJ56" s="386">
        <f t="shared" si="77"/>
        <v>1.1347338219537564</v>
      </c>
      <c r="AK56" s="386">
        <f t="shared" si="78"/>
        <v>2.4464796087029805E-3</v>
      </c>
      <c r="AL56" s="386">
        <f t="shared" si="79"/>
        <v>5.7488094717986812E-2</v>
      </c>
      <c r="AM56" s="386">
        <f t="shared" si="80"/>
        <v>0</v>
      </c>
      <c r="AN56" s="386">
        <f t="shared" si="81"/>
        <v>5.9963914425469778E-2</v>
      </c>
      <c r="AO56" s="386">
        <f t="shared" si="49"/>
        <v>5.7488203194164162</v>
      </c>
      <c r="AP56" s="386">
        <f t="shared" si="82"/>
        <v>6.2792976623376628E-2</v>
      </c>
      <c r="AQ56" s="386">
        <f t="shared" si="83"/>
        <v>6.2666666666666662E-2</v>
      </c>
      <c r="AR56" s="386">
        <f t="shared" si="84"/>
        <v>0.12705527912443065</v>
      </c>
      <c r="AS56" s="386">
        <f t="shared" si="85"/>
        <v>0</v>
      </c>
      <c r="AT56" s="386">
        <f t="shared" si="86"/>
        <v>0</v>
      </c>
      <c r="AU56" s="386">
        <f t="shared" si="87"/>
        <v>9.3796012214999974E-2</v>
      </c>
      <c r="AV56" s="386">
        <f t="shared" si="88"/>
        <v>1.0300966773486242E-2</v>
      </c>
      <c r="AW56" s="386">
        <f t="shared" si="33"/>
        <v>0.59328000000000003</v>
      </c>
      <c r="AX56" s="386">
        <f t="shared" si="89"/>
        <v>3.6000000000000004E-2</v>
      </c>
      <c r="AY56" s="386">
        <f t="shared" si="90"/>
        <v>9.8999999999999977E-2</v>
      </c>
      <c r="AZ56" s="386">
        <f t="shared" si="36"/>
        <v>4.3499999999999997E-2</v>
      </c>
      <c r="BA56" s="386">
        <f t="shared" si="57"/>
        <v>0.13499999999999998</v>
      </c>
      <c r="BB56" s="386">
        <f t="shared" si="58"/>
        <v>1.4276445049566557</v>
      </c>
      <c r="BC56">
        <f t="shared" si="91"/>
        <v>67.679999999999993</v>
      </c>
      <c r="BD56" s="604">
        <f t="shared" si="51"/>
        <v>0.97934172818096465</v>
      </c>
      <c r="BE56" s="614">
        <f t="shared" si="92"/>
        <v>6.0934641243684879</v>
      </c>
      <c r="BF56" s="614">
        <f t="shared" si="93"/>
        <v>7.9003981577690325</v>
      </c>
      <c r="BG56" s="9"/>
      <c r="BH56" s="4">
        <f t="shared" si="52"/>
        <v>97.934172818096471</v>
      </c>
      <c r="BI56" s="386">
        <f t="shared" si="53"/>
        <v>0.11609579871273573</v>
      </c>
      <c r="BJ56" s="386">
        <f t="shared" si="54"/>
        <v>0.57048906934056354</v>
      </c>
      <c r="BK56" s="386">
        <f t="shared" si="94"/>
        <v>0.12186928248736976</v>
      </c>
      <c r="BL56" s="386">
        <f t="shared" si="95"/>
        <v>0.15800796315538065</v>
      </c>
      <c r="BM56" s="386">
        <f t="shared" si="55"/>
        <v>1.0300966773486242E-2</v>
      </c>
      <c r="BS56" s="18"/>
      <c r="BT56" s="19"/>
    </row>
    <row r="57" spans="1:74" x14ac:dyDescent="0.2">
      <c r="A57" s="24" t="s">
        <v>279</v>
      </c>
      <c r="B57" s="15" t="s">
        <v>115</v>
      </c>
      <c r="C57" s="24" t="s">
        <v>80</v>
      </c>
      <c r="D57" s="24" t="s">
        <v>249</v>
      </c>
      <c r="G57">
        <v>48</v>
      </c>
      <c r="H57" s="610">
        <f t="shared" si="59"/>
        <v>12</v>
      </c>
      <c r="I57" s="4" t="str">
        <f t="shared" si="60"/>
        <v>BUCK-BST</v>
      </c>
      <c r="J57">
        <f t="shared" si="43"/>
        <v>3</v>
      </c>
      <c r="K57" s="386">
        <f t="shared" si="96"/>
        <v>5.76</v>
      </c>
      <c r="L57" s="4">
        <f t="shared" si="61"/>
        <v>6.4</v>
      </c>
      <c r="M57" s="4">
        <f t="shared" si="56"/>
        <v>5.9844155844155837</v>
      </c>
      <c r="N57" s="386">
        <f t="shared" si="62"/>
        <v>0.96250000000000002</v>
      </c>
      <c r="O57" s="386">
        <f t="shared" si="63"/>
        <v>3.7499999999999943E-2</v>
      </c>
      <c r="P57" s="4">
        <f t="shared" si="64"/>
        <v>0</v>
      </c>
      <c r="Q57" s="4">
        <f t="shared" si="65"/>
        <v>5.9844155844155837</v>
      </c>
      <c r="R57" s="386">
        <f t="shared" si="7"/>
        <v>0.12113698632753343</v>
      </c>
      <c r="S57" s="386">
        <f t="shared" si="45"/>
        <v>0</v>
      </c>
      <c r="T57" s="386">
        <f t="shared" si="46"/>
        <v>0.12113698632753343</v>
      </c>
      <c r="U57" s="4">
        <f t="shared" si="66"/>
        <v>1.1369405288904799</v>
      </c>
      <c r="V57" s="386">
        <f t="shared" si="9"/>
        <v>2.5852675324675284E-3</v>
      </c>
      <c r="W57" s="386">
        <f t="shared" si="47"/>
        <v>2.5852675324675284E-3</v>
      </c>
      <c r="X57" s="4">
        <f t="shared" si="67"/>
        <v>0</v>
      </c>
      <c r="Y57" s="386">
        <f t="shared" si="11"/>
        <v>0</v>
      </c>
      <c r="Z57" s="603">
        <f t="shared" si="48"/>
        <v>0</v>
      </c>
      <c r="AA57" s="386">
        <f t="shared" si="68"/>
        <v>5.8711356453614458</v>
      </c>
      <c r="AB57" s="386">
        <f t="shared" si="69"/>
        <v>0.19648033246753244</v>
      </c>
      <c r="AC57" s="386">
        <f t="shared" si="70"/>
        <v>2.9569090909090906E-2</v>
      </c>
      <c r="AD57" s="386">
        <f t="shared" si="71"/>
        <v>0</v>
      </c>
      <c r="AE57" s="386">
        <f t="shared" si="72"/>
        <v>0.23529561553012571</v>
      </c>
      <c r="AF57" s="386">
        <f t="shared" si="73"/>
        <v>1.1588770947612839</v>
      </c>
      <c r="AG57" s="386">
        <f t="shared" si="74"/>
        <v>7.6550778883454169E-3</v>
      </c>
      <c r="AH57" s="386">
        <f t="shared" si="75"/>
        <v>5.7599999999999998E-2</v>
      </c>
      <c r="AI57" s="386">
        <f t="shared" si="76"/>
        <v>6.5355137622125609E-2</v>
      </c>
      <c r="AJ57" s="386">
        <f t="shared" si="77"/>
        <v>1.1588770947612832</v>
      </c>
      <c r="AK57" s="386">
        <f t="shared" si="78"/>
        <v>2.551692629448469E-3</v>
      </c>
      <c r="AL57" s="386">
        <f t="shared" si="79"/>
        <v>5.7488094717986812E-2</v>
      </c>
      <c r="AM57" s="386">
        <f t="shared" si="80"/>
        <v>0</v>
      </c>
      <c r="AN57" s="386">
        <f t="shared" si="81"/>
        <v>6.0070443609076277E-2</v>
      </c>
      <c r="AO57" s="386">
        <f t="shared" si="49"/>
        <v>5.8711356453614458</v>
      </c>
      <c r="AP57" s="386">
        <f t="shared" si="82"/>
        <v>6.5493444155844141E-2</v>
      </c>
      <c r="AQ57" s="386">
        <f t="shared" si="83"/>
        <v>6.4000000000000001E-2</v>
      </c>
      <c r="AR57" s="386">
        <f t="shared" si="84"/>
        <v>0.13121215129654581</v>
      </c>
      <c r="AS57" s="386">
        <f t="shared" si="85"/>
        <v>0</v>
      </c>
      <c r="AT57" s="386">
        <f t="shared" si="86"/>
        <v>0</v>
      </c>
      <c r="AU57" s="386">
        <f t="shared" si="87"/>
        <v>9.473589503999999E-2</v>
      </c>
      <c r="AV57" s="386">
        <f t="shared" si="88"/>
        <v>1.0743968966098824E-2</v>
      </c>
      <c r="AW57" s="386">
        <f t="shared" si="33"/>
        <v>0.59328000000000003</v>
      </c>
      <c r="AX57" s="386">
        <f t="shared" si="89"/>
        <v>3.6000000000000004E-2</v>
      </c>
      <c r="AY57" s="386">
        <f t="shared" si="90"/>
        <v>9.8999999999999977E-2</v>
      </c>
      <c r="AZ57" s="386">
        <f t="shared" si="36"/>
        <v>4.3499999999999997E-2</v>
      </c>
      <c r="BA57" s="386">
        <f t="shared" si="57"/>
        <v>0.13499999999999998</v>
      </c>
      <c r="BB57" s="386">
        <f t="shared" si="58"/>
        <v>1.4494154659239733</v>
      </c>
      <c r="BC57">
        <f t="shared" si="91"/>
        <v>69.12</v>
      </c>
      <c r="BD57" s="604">
        <f t="shared" si="51"/>
        <v>0.97946113827988468</v>
      </c>
      <c r="BE57" s="614">
        <f t="shared" si="92"/>
        <v>6.1298067167738131</v>
      </c>
      <c r="BF57" s="614">
        <f t="shared" si="93"/>
        <v>8.1237498329872899</v>
      </c>
      <c r="BG57" s="9"/>
      <c r="BH57" s="4">
        <f t="shared" si="52"/>
        <v>97.946113827988469</v>
      </c>
      <c r="BI57" s="386">
        <f t="shared" si="53"/>
        <v>0.12113698632753343</v>
      </c>
      <c r="BJ57" s="386">
        <f t="shared" si="54"/>
        <v>0.58666924309787338</v>
      </c>
      <c r="BK57" s="386">
        <f t="shared" si="94"/>
        <v>0.12259613433547627</v>
      </c>
      <c r="BL57" s="386">
        <f t="shared" si="95"/>
        <v>0.1624749966597458</v>
      </c>
      <c r="BM57" s="386">
        <f t="shared" si="55"/>
        <v>1.0743968966098824E-2</v>
      </c>
      <c r="BS57" s="18"/>
      <c r="BT57" s="19"/>
    </row>
    <row r="58" spans="1:74" x14ac:dyDescent="0.2">
      <c r="A58" s="23" t="s">
        <v>231</v>
      </c>
      <c r="B58" s="73">
        <f>VfdSky_Q2</f>
        <v>0</v>
      </c>
      <c r="C58" s="482" t="s">
        <v>0</v>
      </c>
      <c r="D58" s="76" t="s">
        <v>234</v>
      </c>
      <c r="G58">
        <v>49</v>
      </c>
      <c r="H58" s="610">
        <f t="shared" si="59"/>
        <v>12</v>
      </c>
      <c r="I58" s="4" t="str">
        <f t="shared" si="60"/>
        <v>BUCK-BST</v>
      </c>
      <c r="J58">
        <f t="shared" si="43"/>
        <v>3</v>
      </c>
      <c r="K58" s="386">
        <f t="shared" si="96"/>
        <v>5.88</v>
      </c>
      <c r="L58" s="4">
        <f t="shared" si="61"/>
        <v>6.5333333333333332</v>
      </c>
      <c r="M58" s="4">
        <f t="shared" si="56"/>
        <v>6.1090909090909085</v>
      </c>
      <c r="N58" s="386">
        <f t="shared" si="62"/>
        <v>0.96250000000000002</v>
      </c>
      <c r="O58" s="386">
        <f t="shared" si="63"/>
        <v>3.7499999999999943E-2</v>
      </c>
      <c r="P58" s="4">
        <f t="shared" si="64"/>
        <v>0</v>
      </c>
      <c r="Q58" s="4">
        <f t="shared" si="65"/>
        <v>6.1090909090909085</v>
      </c>
      <c r="R58" s="386">
        <f t="shared" si="7"/>
        <v>0.12628846277508968</v>
      </c>
      <c r="S58" s="386">
        <f t="shared" si="45"/>
        <v>0</v>
      </c>
      <c r="T58" s="386">
        <f t="shared" si="46"/>
        <v>0.12628846277508968</v>
      </c>
      <c r="U58" s="4">
        <f t="shared" si="66"/>
        <v>1.1606267899090317</v>
      </c>
      <c r="V58" s="386">
        <f t="shared" si="9"/>
        <v>2.6941090909090872E-3</v>
      </c>
      <c r="W58" s="386">
        <f t="shared" si="47"/>
        <v>2.6941090909090872E-3</v>
      </c>
      <c r="X58" s="4">
        <f t="shared" si="67"/>
        <v>0</v>
      </c>
      <c r="Y58" s="386">
        <f t="shared" si="11"/>
        <v>0</v>
      </c>
      <c r="Z58" s="603">
        <f t="shared" si="48"/>
        <v>0</v>
      </c>
      <c r="AA58" s="386">
        <f t="shared" si="68"/>
        <v>5.9934509713064763</v>
      </c>
      <c r="AB58" s="386">
        <f t="shared" si="69"/>
        <v>0.20475229090909092</v>
      </c>
      <c r="AC58" s="386">
        <f t="shared" si="70"/>
        <v>3.0185113636363635E-2</v>
      </c>
      <c r="AD58" s="386">
        <f t="shared" si="71"/>
        <v>0</v>
      </c>
      <c r="AE58" s="386">
        <f t="shared" si="72"/>
        <v>0.24496899722203755</v>
      </c>
      <c r="AF58" s="386">
        <f t="shared" si="73"/>
        <v>1.1830203675688105</v>
      </c>
      <c r="AG58" s="386">
        <f t="shared" si="74"/>
        <v>7.9773619834710673E-3</v>
      </c>
      <c r="AH58" s="386">
        <f t="shared" si="75"/>
        <v>5.8799999999999998E-2</v>
      </c>
      <c r="AI58" s="386">
        <f t="shared" si="76"/>
        <v>6.6884073676800854E-2</v>
      </c>
      <c r="AJ58" s="386">
        <f t="shared" si="77"/>
        <v>1.1830203675688098</v>
      </c>
      <c r="AK58" s="386">
        <f t="shared" si="78"/>
        <v>2.6591206611570194E-3</v>
      </c>
      <c r="AL58" s="386">
        <f t="shared" si="79"/>
        <v>5.7488094717986812E-2</v>
      </c>
      <c r="AM58" s="386">
        <f t="shared" si="80"/>
        <v>0</v>
      </c>
      <c r="AN58" s="386">
        <f t="shared" si="81"/>
        <v>6.0179220140673506E-2</v>
      </c>
      <c r="AO58" s="386">
        <f t="shared" si="49"/>
        <v>5.9934509713064763</v>
      </c>
      <c r="AP58" s="386">
        <f t="shared" si="82"/>
        <v>6.8250763636363634E-2</v>
      </c>
      <c r="AQ58" s="386">
        <f t="shared" si="83"/>
        <v>6.5333333333333327E-2</v>
      </c>
      <c r="AR58" s="386">
        <f t="shared" si="84"/>
        <v>0.13543277503317824</v>
      </c>
      <c r="AS58" s="386">
        <f t="shared" si="85"/>
        <v>0</v>
      </c>
      <c r="AT58" s="386">
        <f t="shared" si="86"/>
        <v>0</v>
      </c>
      <c r="AU58" s="386">
        <f t="shared" si="87"/>
        <v>9.5675670134999974E-2</v>
      </c>
      <c r="AV58" s="386">
        <f t="shared" si="88"/>
        <v>1.119629752066114E-2</v>
      </c>
      <c r="AW58" s="386">
        <f t="shared" si="33"/>
        <v>0.59328000000000003</v>
      </c>
      <c r="AX58" s="386">
        <f t="shared" si="89"/>
        <v>3.6000000000000004E-2</v>
      </c>
      <c r="AY58" s="386">
        <f t="shared" si="90"/>
        <v>9.8999999999999977E-2</v>
      </c>
      <c r="AZ58" s="386">
        <f t="shared" si="36"/>
        <v>4.3499999999999997E-2</v>
      </c>
      <c r="BA58" s="386">
        <f t="shared" si="57"/>
        <v>0.13499999999999998</v>
      </c>
      <c r="BB58" s="386">
        <f t="shared" si="58"/>
        <v>1.4715996055943501</v>
      </c>
      <c r="BC58">
        <f t="shared" si="91"/>
        <v>70.56</v>
      </c>
      <c r="BD58" s="604">
        <f t="shared" si="51"/>
        <v>0.97957008294065351</v>
      </c>
      <c r="BE58" s="614">
        <f t="shared" si="92"/>
        <v>6.1662581214886751</v>
      </c>
      <c r="BF58" s="614">
        <f t="shared" si="93"/>
        <v>8.3502873088864114</v>
      </c>
      <c r="BG58" s="9"/>
      <c r="BH58" s="4">
        <f t="shared" si="52"/>
        <v>97.957008294065346</v>
      </c>
      <c r="BI58" s="386">
        <f t="shared" si="53"/>
        <v>0.12628846277508968</v>
      </c>
      <c r="BJ58" s="386">
        <f t="shared" si="54"/>
        <v>0.60314073620769015</v>
      </c>
      <c r="BK58" s="386">
        <f t="shared" si="94"/>
        <v>0.1233251624297735</v>
      </c>
      <c r="BL58" s="386">
        <f t="shared" si="95"/>
        <v>0.16700574617772823</v>
      </c>
      <c r="BM58" s="386">
        <f t="shared" si="55"/>
        <v>1.119629752066114E-2</v>
      </c>
      <c r="BS58" s="18"/>
      <c r="BT58" s="19"/>
    </row>
    <row r="59" spans="1:74" x14ac:dyDescent="0.2">
      <c r="A59" s="23" t="s">
        <v>232</v>
      </c>
      <c r="B59" s="73">
        <f>QrrSky_Q2*1000000000</f>
        <v>0</v>
      </c>
      <c r="C59" s="482" t="s">
        <v>69</v>
      </c>
      <c r="D59" s="76" t="s">
        <v>235</v>
      </c>
      <c r="G59">
        <v>50</v>
      </c>
      <c r="H59" s="610">
        <f t="shared" si="59"/>
        <v>12</v>
      </c>
      <c r="I59" s="4" t="str">
        <f t="shared" si="60"/>
        <v>BUCK-BST</v>
      </c>
      <c r="J59">
        <f t="shared" si="43"/>
        <v>3</v>
      </c>
      <c r="K59" s="386">
        <f t="shared" si="96"/>
        <v>6</v>
      </c>
      <c r="L59" s="4">
        <f t="shared" si="61"/>
        <v>6.6666666666666661</v>
      </c>
      <c r="M59" s="4">
        <f t="shared" si="56"/>
        <v>6.2337662337662341</v>
      </c>
      <c r="N59" s="386">
        <f t="shared" si="62"/>
        <v>0.96250000000000002</v>
      </c>
      <c r="O59" s="386">
        <f t="shared" si="63"/>
        <v>3.7499999999999943E-2</v>
      </c>
      <c r="P59" s="4">
        <f t="shared" si="64"/>
        <v>0</v>
      </c>
      <c r="Q59" s="4">
        <f t="shared" si="65"/>
        <v>6.2337662337662341</v>
      </c>
      <c r="R59" s="386">
        <f t="shared" si="7"/>
        <v>0.13155049327344479</v>
      </c>
      <c r="S59" s="386">
        <f t="shared" si="45"/>
        <v>0</v>
      </c>
      <c r="T59" s="386">
        <f t="shared" si="46"/>
        <v>0.13155049327344479</v>
      </c>
      <c r="U59" s="4">
        <f t="shared" si="66"/>
        <v>1.1843130509275832</v>
      </c>
      <c r="V59" s="386">
        <f t="shared" si="9"/>
        <v>2.805194805194801E-3</v>
      </c>
      <c r="W59" s="386">
        <f t="shared" si="47"/>
        <v>2.805194805194801E-3</v>
      </c>
      <c r="X59" s="4">
        <f t="shared" si="67"/>
        <v>0</v>
      </c>
      <c r="Y59" s="386">
        <f t="shared" si="11"/>
        <v>0</v>
      </c>
      <c r="Z59" s="603">
        <f t="shared" si="48"/>
        <v>0</v>
      </c>
      <c r="AA59" s="386">
        <f t="shared" si="68"/>
        <v>6.1157662972515077</v>
      </c>
      <c r="AB59" s="386">
        <f t="shared" si="69"/>
        <v>0.21319480519480527</v>
      </c>
      <c r="AC59" s="386">
        <f t="shared" si="70"/>
        <v>3.080113636363636E-2</v>
      </c>
      <c r="AD59" s="386">
        <f t="shared" si="71"/>
        <v>0</v>
      </c>
      <c r="AE59" s="386">
        <f t="shared" si="72"/>
        <v>0.25486303664836246</v>
      </c>
      <c r="AF59" s="386">
        <f t="shared" si="73"/>
        <v>1.2071636403763375</v>
      </c>
      <c r="AG59" s="386">
        <f t="shared" si="74"/>
        <v>8.3062911114859129E-3</v>
      </c>
      <c r="AH59" s="386">
        <f t="shared" si="75"/>
        <v>0.06</v>
      </c>
      <c r="AI59" s="386">
        <f t="shared" si="76"/>
        <v>6.8419954323174478E-2</v>
      </c>
      <c r="AJ59" s="386">
        <f t="shared" si="77"/>
        <v>1.2071636403763368</v>
      </c>
      <c r="AK59" s="386">
        <f t="shared" si="78"/>
        <v>2.7687637038286347E-3</v>
      </c>
      <c r="AL59" s="386">
        <f t="shared" si="79"/>
        <v>5.7488094717986812E-2</v>
      </c>
      <c r="AM59" s="386">
        <f t="shared" si="80"/>
        <v>0</v>
      </c>
      <c r="AN59" s="386">
        <f t="shared" si="81"/>
        <v>6.0290244309843456E-2</v>
      </c>
      <c r="AO59" s="386">
        <f t="shared" si="49"/>
        <v>6.1157662972515077</v>
      </c>
      <c r="AP59" s="386">
        <f t="shared" si="82"/>
        <v>7.1064935064935095E-2</v>
      </c>
      <c r="AQ59" s="386">
        <f t="shared" si="83"/>
        <v>6.6666666666666666E-2</v>
      </c>
      <c r="AR59" s="386">
        <f t="shared" si="84"/>
        <v>0.13971740337120497</v>
      </c>
      <c r="AS59" s="386">
        <f t="shared" si="85"/>
        <v>0</v>
      </c>
      <c r="AT59" s="386">
        <f t="shared" si="86"/>
        <v>0</v>
      </c>
      <c r="AU59" s="386">
        <f t="shared" si="87"/>
        <v>9.6615337499999981E-2</v>
      </c>
      <c r="AV59" s="386">
        <f t="shared" si="88"/>
        <v>1.1657952437173205E-2</v>
      </c>
      <c r="AW59" s="386">
        <f t="shared" si="33"/>
        <v>0.59328000000000003</v>
      </c>
      <c r="AX59" s="386">
        <f t="shared" si="89"/>
        <v>3.6000000000000004E-2</v>
      </c>
      <c r="AY59" s="386">
        <f t="shared" si="90"/>
        <v>9.8999999999999977E-2</v>
      </c>
      <c r="AZ59" s="386">
        <f t="shared" si="36"/>
        <v>4.3499999999999997E-2</v>
      </c>
      <c r="BA59" s="386">
        <f t="shared" si="57"/>
        <v>0.13499999999999998</v>
      </c>
      <c r="BB59" s="386">
        <f t="shared" si="58"/>
        <v>1.4941996166683982</v>
      </c>
      <c r="BC59">
        <f t="shared" si="91"/>
        <v>72</v>
      </c>
      <c r="BD59" s="604">
        <f t="shared" si="51"/>
        <v>0.97966914906942515</v>
      </c>
      <c r="BE59" s="614">
        <f t="shared" si="92"/>
        <v>6.2028183529921721</v>
      </c>
      <c r="BF59" s="614">
        <f t="shared" si="93"/>
        <v>8.5800232373102485</v>
      </c>
      <c r="BG59" s="9"/>
      <c r="BH59" s="4">
        <f t="shared" si="52"/>
        <v>97.96691490694252</v>
      </c>
      <c r="BI59" s="386">
        <f t="shared" si="53"/>
        <v>0.13155049327344479</v>
      </c>
      <c r="BJ59" s="386">
        <f t="shared" si="54"/>
        <v>0.61990597615258536</v>
      </c>
      <c r="BK59" s="386">
        <f t="shared" si="94"/>
        <v>0.12405636705984344</v>
      </c>
      <c r="BL59" s="386">
        <f t="shared" si="95"/>
        <v>0.17160046474620497</v>
      </c>
      <c r="BM59" s="386">
        <f t="shared" si="55"/>
        <v>1.1657952437173205E-2</v>
      </c>
      <c r="BS59" s="18"/>
      <c r="BT59" s="19"/>
    </row>
    <row r="60" spans="1:74" x14ac:dyDescent="0.2">
      <c r="A60" s="23" t="s">
        <v>233</v>
      </c>
      <c r="B60" s="73">
        <f>Ireverse</f>
        <v>0</v>
      </c>
      <c r="C60" s="482" t="s">
        <v>68</v>
      </c>
      <c r="D60" s="76" t="s">
        <v>236</v>
      </c>
      <c r="E60" s="2"/>
      <c r="G60">
        <v>51</v>
      </c>
      <c r="H60" s="610">
        <f t="shared" si="59"/>
        <v>12</v>
      </c>
      <c r="I60" s="4" t="str">
        <f t="shared" si="60"/>
        <v>BUCK-BST</v>
      </c>
      <c r="J60">
        <f t="shared" si="43"/>
        <v>3</v>
      </c>
      <c r="K60" s="386">
        <f t="shared" si="96"/>
        <v>6.12</v>
      </c>
      <c r="L60" s="4">
        <f t="shared" si="61"/>
        <v>6.7999999999999989</v>
      </c>
      <c r="M60" s="4">
        <f t="shared" si="56"/>
        <v>6.3584415584415588</v>
      </c>
      <c r="N60" s="386">
        <f t="shared" si="62"/>
        <v>0.96250000000000002</v>
      </c>
      <c r="O60" s="386">
        <f t="shared" si="63"/>
        <v>3.7499999999999943E-2</v>
      </c>
      <c r="P60" s="4">
        <f t="shared" si="64"/>
        <v>0</v>
      </c>
      <c r="Q60" s="4">
        <f t="shared" si="65"/>
        <v>6.3584415584415588</v>
      </c>
      <c r="R60" s="386">
        <f t="shared" si="7"/>
        <v>0.13692334906553622</v>
      </c>
      <c r="S60" s="386">
        <f t="shared" si="45"/>
        <v>0</v>
      </c>
      <c r="T60" s="386">
        <f t="shared" si="46"/>
        <v>0.13692334906553622</v>
      </c>
      <c r="U60" s="4">
        <f t="shared" si="66"/>
        <v>1.207999311946135</v>
      </c>
      <c r="V60" s="386">
        <f t="shared" si="9"/>
        <v>2.9185246753246712E-3</v>
      </c>
      <c r="W60" s="386">
        <f t="shared" si="47"/>
        <v>2.9185246753246712E-3</v>
      </c>
      <c r="X60" s="4">
        <f t="shared" si="67"/>
        <v>0</v>
      </c>
      <c r="Y60" s="386">
        <f t="shared" si="11"/>
        <v>0</v>
      </c>
      <c r="Z60" s="603">
        <f t="shared" si="48"/>
        <v>0</v>
      </c>
      <c r="AA60" s="386">
        <f t="shared" si="68"/>
        <v>6.2380816231965373</v>
      </c>
      <c r="AB60" s="386">
        <f t="shared" si="69"/>
        <v>0.22180787532467539</v>
      </c>
      <c r="AC60" s="386">
        <f t="shared" si="70"/>
        <v>3.1417159090909086E-2</v>
      </c>
      <c r="AD60" s="386">
        <f t="shared" si="71"/>
        <v>0</v>
      </c>
      <c r="AE60" s="386">
        <f t="shared" si="72"/>
        <v>0.2649799629318913</v>
      </c>
      <c r="AF60" s="386">
        <f t="shared" si="73"/>
        <v>1.2313069131838643</v>
      </c>
      <c r="AG60" s="386">
        <f t="shared" si="74"/>
        <v>8.641865272389946E-3</v>
      </c>
      <c r="AH60" s="386">
        <f t="shared" si="75"/>
        <v>6.1200000000000004E-2</v>
      </c>
      <c r="AI60" s="386">
        <f t="shared" si="76"/>
        <v>6.996278706837511E-2</v>
      </c>
      <c r="AJ60" s="386">
        <f t="shared" si="77"/>
        <v>1.2313069131838634</v>
      </c>
      <c r="AK60" s="386">
        <f t="shared" si="78"/>
        <v>2.8806217574633107E-3</v>
      </c>
      <c r="AL60" s="386">
        <f t="shared" si="79"/>
        <v>5.7488094717986812E-2</v>
      </c>
      <c r="AM60" s="386">
        <f t="shared" si="80"/>
        <v>0</v>
      </c>
      <c r="AN60" s="386">
        <f t="shared" si="81"/>
        <v>6.0403516412170968E-2</v>
      </c>
      <c r="AO60" s="386">
        <f t="shared" si="49"/>
        <v>6.2380816231965373</v>
      </c>
      <c r="AP60" s="386">
        <f t="shared" si="82"/>
        <v>7.3935958441558453E-2</v>
      </c>
      <c r="AQ60" s="386">
        <f t="shared" si="83"/>
        <v>6.7999999999999991E-2</v>
      </c>
      <c r="AR60" s="386">
        <f t="shared" si="84"/>
        <v>0.14406629435196569</v>
      </c>
      <c r="AS60" s="386">
        <f t="shared" si="85"/>
        <v>0</v>
      </c>
      <c r="AT60" s="386">
        <f t="shared" si="86"/>
        <v>0</v>
      </c>
      <c r="AU60" s="386">
        <f t="shared" si="87"/>
        <v>9.7554897134999985E-2</v>
      </c>
      <c r="AV60" s="386">
        <f t="shared" si="88"/>
        <v>1.2128933715635002E-2</v>
      </c>
      <c r="AW60" s="386">
        <f t="shared" si="33"/>
        <v>0.59328000000000003</v>
      </c>
      <c r="AX60" s="386">
        <f t="shared" si="89"/>
        <v>3.6000000000000004E-2</v>
      </c>
      <c r="AY60" s="386">
        <f t="shared" si="90"/>
        <v>9.8999999999999977E-2</v>
      </c>
      <c r="AZ60" s="386">
        <f t="shared" si="36"/>
        <v>4.3499999999999997E-2</v>
      </c>
      <c r="BA60" s="386">
        <f t="shared" si="57"/>
        <v>0.13499999999999998</v>
      </c>
      <c r="BB60" s="386">
        <f t="shared" si="58"/>
        <v>1.517218265355899</v>
      </c>
      <c r="BC60">
        <f t="shared" si="91"/>
        <v>73.44</v>
      </c>
      <c r="BD60" s="604">
        <f t="shared" si="51"/>
        <v>0.97975887712395104</v>
      </c>
      <c r="BE60" s="614">
        <f t="shared" si="92"/>
        <v>6.2394874260635484</v>
      </c>
      <c r="BF60" s="614">
        <f t="shared" si="93"/>
        <v>8.8129705203257842</v>
      </c>
      <c r="BG60" s="9"/>
      <c r="BH60" s="4">
        <f t="shared" si="52"/>
        <v>97.975887712395107</v>
      </c>
      <c r="BI60" s="386">
        <f t="shared" si="53"/>
        <v>0.13692334906553622</v>
      </c>
      <c r="BJ60" s="386">
        <f t="shared" si="54"/>
        <v>0.63696745789940301</v>
      </c>
      <c r="BK60" s="386">
        <f t="shared" si="94"/>
        <v>0.12478974852127096</v>
      </c>
      <c r="BL60" s="386">
        <f t="shared" si="95"/>
        <v>0.17625941040651569</v>
      </c>
      <c r="BM60" s="386">
        <f t="shared" si="55"/>
        <v>1.2128933715635002E-2</v>
      </c>
      <c r="BS60" s="18"/>
      <c r="BT60" s="19"/>
    </row>
    <row r="61" spans="1:74" x14ac:dyDescent="0.2">
      <c r="A61" s="24" t="s">
        <v>121</v>
      </c>
      <c r="B61" s="15" t="s">
        <v>115</v>
      </c>
      <c r="C61" s="24" t="s">
        <v>80</v>
      </c>
      <c r="D61" s="24" t="s">
        <v>249</v>
      </c>
      <c r="G61">
        <v>52</v>
      </c>
      <c r="H61" s="610">
        <f t="shared" si="59"/>
        <v>12</v>
      </c>
      <c r="I61" s="4" t="str">
        <f t="shared" si="60"/>
        <v>BUCK-BST</v>
      </c>
      <c r="J61">
        <f t="shared" si="43"/>
        <v>3</v>
      </c>
      <c r="K61" s="386">
        <f t="shared" si="96"/>
        <v>6.24</v>
      </c>
      <c r="L61" s="4">
        <f t="shared" si="61"/>
        <v>6.9333333333333327</v>
      </c>
      <c r="M61" s="4">
        <f t="shared" si="56"/>
        <v>6.4831168831168835</v>
      </c>
      <c r="N61" s="386">
        <f t="shared" si="62"/>
        <v>0.96250000000000002</v>
      </c>
      <c r="O61" s="386">
        <f t="shared" si="63"/>
        <v>3.7499999999999943E-2</v>
      </c>
      <c r="P61" s="4">
        <f t="shared" si="64"/>
        <v>0</v>
      </c>
      <c r="Q61" s="4">
        <f t="shared" si="65"/>
        <v>6.4831168831168835</v>
      </c>
      <c r="R61" s="386">
        <f t="shared" si="7"/>
        <v>0.1424073074546201</v>
      </c>
      <c r="S61" s="386">
        <f t="shared" si="45"/>
        <v>0</v>
      </c>
      <c r="T61" s="386">
        <f t="shared" si="46"/>
        <v>0.1424073074546201</v>
      </c>
      <c r="U61" s="4">
        <f t="shared" si="66"/>
        <v>1.2316855729646867</v>
      </c>
      <c r="V61" s="386">
        <f t="shared" si="9"/>
        <v>3.0340987012986973E-3</v>
      </c>
      <c r="W61" s="386">
        <f t="shared" si="47"/>
        <v>3.0340987012986973E-3</v>
      </c>
      <c r="X61" s="4">
        <f t="shared" si="67"/>
        <v>0</v>
      </c>
      <c r="Y61" s="386">
        <f t="shared" si="11"/>
        <v>0</v>
      </c>
      <c r="Z61" s="603">
        <f t="shared" si="48"/>
        <v>0</v>
      </c>
      <c r="AA61" s="386">
        <f t="shared" si="68"/>
        <v>6.3603969491415677</v>
      </c>
      <c r="AB61" s="386">
        <f t="shared" si="69"/>
        <v>0.23059150129870137</v>
      </c>
      <c r="AC61" s="386">
        <f t="shared" si="70"/>
        <v>3.2033181818181815E-2</v>
      </c>
      <c r="AD61" s="386">
        <f t="shared" si="71"/>
        <v>0</v>
      </c>
      <c r="AE61" s="386">
        <f t="shared" si="72"/>
        <v>0.2753220689613769</v>
      </c>
      <c r="AF61" s="386">
        <f t="shared" si="73"/>
        <v>1.2554501859913909</v>
      </c>
      <c r="AG61" s="386">
        <f t="shared" si="74"/>
        <v>8.9840844661831631E-3</v>
      </c>
      <c r="AH61" s="386">
        <f t="shared" si="75"/>
        <v>6.2400000000000004E-2</v>
      </c>
      <c r="AI61" s="386">
        <f t="shared" si="76"/>
        <v>7.1512579477066476E-2</v>
      </c>
      <c r="AJ61" s="386">
        <f t="shared" si="77"/>
        <v>1.2554501859913902</v>
      </c>
      <c r="AK61" s="386">
        <f t="shared" si="78"/>
        <v>2.9946948220610512E-3</v>
      </c>
      <c r="AL61" s="386">
        <f t="shared" si="79"/>
        <v>5.7488094717986812E-2</v>
      </c>
      <c r="AM61" s="386">
        <f t="shared" si="80"/>
        <v>0</v>
      </c>
      <c r="AN61" s="386">
        <f t="shared" si="81"/>
        <v>6.0519036749245678E-2</v>
      </c>
      <c r="AO61" s="386">
        <f t="shared" si="49"/>
        <v>6.3603969491415677</v>
      </c>
      <c r="AP61" s="386">
        <f t="shared" si="82"/>
        <v>7.6863833766233791E-2</v>
      </c>
      <c r="AQ61" s="386">
        <f t="shared" si="83"/>
        <v>6.933333333333333E-2</v>
      </c>
      <c r="AR61" s="386">
        <f t="shared" si="84"/>
        <v>0.14847971106536442</v>
      </c>
      <c r="AS61" s="386">
        <f t="shared" si="85"/>
        <v>0</v>
      </c>
      <c r="AT61" s="386">
        <f t="shared" si="86"/>
        <v>0</v>
      </c>
      <c r="AU61" s="386">
        <f t="shared" si="87"/>
        <v>9.8494349039999984E-2</v>
      </c>
      <c r="AV61" s="386">
        <f t="shared" si="88"/>
        <v>1.260924135604654E-2</v>
      </c>
      <c r="AW61" s="386">
        <f t="shared" si="33"/>
        <v>0.59328000000000003</v>
      </c>
      <c r="AX61" s="386">
        <f t="shared" si="89"/>
        <v>3.6000000000000004E-2</v>
      </c>
      <c r="AY61" s="386">
        <f t="shared" si="90"/>
        <v>9.8999999999999977E-2</v>
      </c>
      <c r="AZ61" s="386">
        <f t="shared" si="36"/>
        <v>4.3499999999999997E-2</v>
      </c>
      <c r="BA61" s="386">
        <f t="shared" si="57"/>
        <v>0.13499999999999998</v>
      </c>
      <c r="BB61" s="386">
        <f t="shared" si="58"/>
        <v>1.5406583928050188</v>
      </c>
      <c r="BC61">
        <f t="shared" si="91"/>
        <v>74.88</v>
      </c>
      <c r="BD61" s="604">
        <f t="shared" si="51"/>
        <v>0.97983976551358698</v>
      </c>
      <c r="BE61" s="614">
        <f t="shared" si="92"/>
        <v>6.2762653557822841</v>
      </c>
      <c r="BF61" s="614">
        <f t="shared" si="93"/>
        <v>9.0491423124282218</v>
      </c>
      <c r="BG61" s="9"/>
      <c r="BH61" s="4">
        <f t="shared" si="52"/>
        <v>97.983976551358694</v>
      </c>
      <c r="BI61" s="386">
        <f t="shared" si="53"/>
        <v>0.1424073074546201</v>
      </c>
      <c r="BJ61" s="386">
        <f t="shared" si="54"/>
        <v>0.65432774529305349</v>
      </c>
      <c r="BK61" s="386">
        <f t="shared" si="94"/>
        <v>0.12552530711564569</v>
      </c>
      <c r="BL61" s="386">
        <f t="shared" si="95"/>
        <v>0.18098284624856442</v>
      </c>
      <c r="BM61" s="386">
        <f t="shared" si="55"/>
        <v>1.260924135604654E-2</v>
      </c>
      <c r="BS61" s="18"/>
      <c r="BT61" s="19"/>
    </row>
    <row r="62" spans="1:74" ht="15.75" x14ac:dyDescent="0.3">
      <c r="A62" s="488" t="s">
        <v>678</v>
      </c>
      <c r="B62" s="74">
        <v>30</v>
      </c>
      <c r="C62" s="483" t="s">
        <v>241</v>
      </c>
      <c r="D62" s="76" t="s">
        <v>107</v>
      </c>
      <c r="G62">
        <v>53</v>
      </c>
      <c r="H62" s="610">
        <f t="shared" si="59"/>
        <v>12</v>
      </c>
      <c r="I62" s="4" t="str">
        <f t="shared" si="60"/>
        <v>BUCK-BST</v>
      </c>
      <c r="J62">
        <f t="shared" si="43"/>
        <v>3</v>
      </c>
      <c r="K62" s="386">
        <f t="shared" si="96"/>
        <v>6.36</v>
      </c>
      <c r="L62" s="4">
        <f t="shared" si="61"/>
        <v>7.0666666666666673</v>
      </c>
      <c r="M62" s="4">
        <f t="shared" si="56"/>
        <v>6.6077922077922082</v>
      </c>
      <c r="N62" s="386">
        <f t="shared" si="62"/>
        <v>0.96250000000000002</v>
      </c>
      <c r="O62" s="386">
        <f t="shared" si="63"/>
        <v>3.7499999999999943E-2</v>
      </c>
      <c r="P62" s="4">
        <f t="shared" si="64"/>
        <v>0</v>
      </c>
      <c r="Q62" s="4">
        <f t="shared" si="65"/>
        <v>6.6077922077922082</v>
      </c>
      <c r="R62" s="386">
        <f t="shared" si="7"/>
        <v>0.14800265184054878</v>
      </c>
      <c r="S62" s="386">
        <f t="shared" si="45"/>
        <v>0</v>
      </c>
      <c r="T62" s="386">
        <f t="shared" si="46"/>
        <v>0.14800265184054878</v>
      </c>
      <c r="U62" s="4">
        <f t="shared" si="66"/>
        <v>1.2553718339832383</v>
      </c>
      <c r="V62" s="386">
        <f t="shared" si="9"/>
        <v>3.1519168831168785E-3</v>
      </c>
      <c r="W62" s="386">
        <f t="shared" si="47"/>
        <v>3.1519168831168785E-3</v>
      </c>
      <c r="X62" s="4">
        <f t="shared" si="67"/>
        <v>0</v>
      </c>
      <c r="Y62" s="386">
        <f t="shared" si="11"/>
        <v>0</v>
      </c>
      <c r="Z62" s="603">
        <f t="shared" si="48"/>
        <v>0</v>
      </c>
      <c r="AA62" s="386">
        <f t="shared" si="68"/>
        <v>6.4827122750865982</v>
      </c>
      <c r="AB62" s="386">
        <f t="shared" si="69"/>
        <v>0.23954568311688323</v>
      </c>
      <c r="AC62" s="386">
        <f t="shared" si="70"/>
        <v>3.2649204545454544E-2</v>
      </c>
      <c r="AD62" s="386">
        <f t="shared" si="71"/>
        <v>0</v>
      </c>
      <c r="AE62" s="386">
        <f t="shared" si="72"/>
        <v>0.28589171278987924</v>
      </c>
      <c r="AF62" s="386">
        <f t="shared" si="73"/>
        <v>1.2795934587989177</v>
      </c>
      <c r="AG62" s="386">
        <f t="shared" si="74"/>
        <v>9.3329486928655728E-3</v>
      </c>
      <c r="AH62" s="386">
        <f t="shared" si="75"/>
        <v>6.3600000000000004E-2</v>
      </c>
      <c r="AI62" s="386">
        <f t="shared" si="76"/>
        <v>7.3069339171567549E-2</v>
      </c>
      <c r="AJ62" s="386">
        <f t="shared" si="77"/>
        <v>1.2795934587989171</v>
      </c>
      <c r="AK62" s="386">
        <f t="shared" si="78"/>
        <v>3.110982897621854E-3</v>
      </c>
      <c r="AL62" s="386">
        <f t="shared" si="79"/>
        <v>5.7488094717986812E-2</v>
      </c>
      <c r="AM62" s="386">
        <f t="shared" si="80"/>
        <v>0</v>
      </c>
      <c r="AN62" s="386">
        <f t="shared" si="81"/>
        <v>6.0636805628664109E-2</v>
      </c>
      <c r="AO62" s="386">
        <f t="shared" si="49"/>
        <v>6.4827122750865982</v>
      </c>
      <c r="AP62" s="386">
        <f t="shared" si="82"/>
        <v>7.9848561038961069E-2</v>
      </c>
      <c r="AQ62" s="386">
        <f t="shared" si="83"/>
        <v>7.0666666666666669E-2</v>
      </c>
      <c r="AR62" s="386">
        <f t="shared" si="84"/>
        <v>0.15295792169499889</v>
      </c>
      <c r="AS62" s="386">
        <f t="shared" si="85"/>
        <v>0</v>
      </c>
      <c r="AT62" s="386">
        <f t="shared" si="86"/>
        <v>0</v>
      </c>
      <c r="AU62" s="386">
        <f t="shared" si="87"/>
        <v>9.9433693214999994E-2</v>
      </c>
      <c r="AV62" s="386">
        <f t="shared" si="88"/>
        <v>1.3098875358407813E-2</v>
      </c>
      <c r="AW62" s="386">
        <f t="shared" si="33"/>
        <v>0.59328000000000003</v>
      </c>
      <c r="AX62" s="386">
        <f t="shared" si="89"/>
        <v>3.6000000000000004E-2</v>
      </c>
      <c r="AY62" s="386">
        <f t="shared" si="90"/>
        <v>9.8999999999999977E-2</v>
      </c>
      <c r="AZ62" s="386">
        <f t="shared" si="36"/>
        <v>4.3499999999999997E-2</v>
      </c>
      <c r="BA62" s="386">
        <f t="shared" si="57"/>
        <v>0.13499999999999998</v>
      </c>
      <c r="BB62" s="386">
        <f t="shared" si="58"/>
        <v>1.5645229165821832</v>
      </c>
      <c r="BC62">
        <f t="shared" si="91"/>
        <v>76.320000000000007</v>
      </c>
      <c r="BD62" s="604">
        <f t="shared" si="51"/>
        <v>0.97991227450596508</v>
      </c>
      <c r="BE62" s="614">
        <f t="shared" si="92"/>
        <v>6.3131521575282052</v>
      </c>
      <c r="BF62" s="614">
        <f t="shared" si="93"/>
        <v>9.288552022797445</v>
      </c>
      <c r="BG62" s="9"/>
      <c r="BH62" s="4">
        <f t="shared" si="52"/>
        <v>97.991227450596512</v>
      </c>
      <c r="BI62" s="386">
        <f t="shared" si="53"/>
        <v>0.14800265184054878</v>
      </c>
      <c r="BJ62" s="386">
        <f t="shared" si="54"/>
        <v>0.67198947250010976</v>
      </c>
      <c r="BK62" s="386">
        <f t="shared" si="94"/>
        <v>0.12626304315056411</v>
      </c>
      <c r="BL62" s="386">
        <f t="shared" si="95"/>
        <v>0.18577104045594889</v>
      </c>
      <c r="BM62" s="386">
        <f t="shared" si="55"/>
        <v>1.3098875358407813E-2</v>
      </c>
      <c r="BS62" s="18"/>
      <c r="BT62" s="19"/>
    </row>
    <row r="63" spans="1:74" x14ac:dyDescent="0.2">
      <c r="A63" s="23" t="s">
        <v>122</v>
      </c>
      <c r="B63" s="74">
        <v>2</v>
      </c>
      <c r="C63" s="483" t="s">
        <v>241</v>
      </c>
      <c r="D63" s="21" t="s">
        <v>107</v>
      </c>
      <c r="G63">
        <v>54</v>
      </c>
      <c r="H63" s="610">
        <f t="shared" si="59"/>
        <v>12</v>
      </c>
      <c r="I63" s="4" t="str">
        <f t="shared" si="60"/>
        <v>BUCK-BST</v>
      </c>
      <c r="J63">
        <f t="shared" si="43"/>
        <v>3</v>
      </c>
      <c r="K63" s="386">
        <f t="shared" si="96"/>
        <v>6.48</v>
      </c>
      <c r="L63" s="4">
        <f t="shared" si="61"/>
        <v>7.2</v>
      </c>
      <c r="M63" s="4">
        <f t="shared" si="56"/>
        <v>6.7324675324675329</v>
      </c>
      <c r="N63" s="386">
        <f t="shared" si="62"/>
        <v>0.96250000000000002</v>
      </c>
      <c r="O63" s="386">
        <f t="shared" si="63"/>
        <v>3.7499999999999943E-2</v>
      </c>
      <c r="P63" s="4">
        <f t="shared" si="64"/>
        <v>0</v>
      </c>
      <c r="Q63" s="4">
        <f t="shared" si="65"/>
        <v>6.7324675324675329</v>
      </c>
      <c r="R63" s="386">
        <f t="shared" si="7"/>
        <v>0.15370967175691264</v>
      </c>
      <c r="S63" s="386">
        <f t="shared" si="45"/>
        <v>0</v>
      </c>
      <c r="T63" s="386">
        <f t="shared" si="46"/>
        <v>0.15370967175691264</v>
      </c>
      <c r="U63" s="4">
        <f t="shared" si="66"/>
        <v>1.27905809500179</v>
      </c>
      <c r="V63" s="386">
        <f t="shared" si="9"/>
        <v>3.2719792207792165E-3</v>
      </c>
      <c r="W63" s="386">
        <f t="shared" si="47"/>
        <v>3.2719792207792165E-3</v>
      </c>
      <c r="X63" s="4">
        <f t="shared" si="67"/>
        <v>0</v>
      </c>
      <c r="Y63" s="386">
        <f t="shared" si="11"/>
        <v>0</v>
      </c>
      <c r="Z63" s="603">
        <f t="shared" si="48"/>
        <v>0</v>
      </c>
      <c r="AA63" s="386">
        <f t="shared" si="68"/>
        <v>6.6050276010316278</v>
      </c>
      <c r="AB63" s="386">
        <f t="shared" si="69"/>
        <v>0.24867042077922086</v>
      </c>
      <c r="AC63" s="386">
        <f t="shared" si="70"/>
        <v>3.3265227272727273E-2</v>
      </c>
      <c r="AD63" s="386">
        <f t="shared" si="71"/>
        <v>0</v>
      </c>
      <c r="AE63" s="386">
        <f t="shared" si="72"/>
        <v>0.29669131908355822</v>
      </c>
      <c r="AF63" s="386">
        <f t="shared" si="73"/>
        <v>1.3037367316064445</v>
      </c>
      <c r="AG63" s="386">
        <f t="shared" si="74"/>
        <v>9.6884579524371701E-3</v>
      </c>
      <c r="AH63" s="386">
        <f t="shared" si="75"/>
        <v>6.480000000000001E-2</v>
      </c>
      <c r="AI63" s="386">
        <f t="shared" si="76"/>
        <v>7.4633073831973623E-2</v>
      </c>
      <c r="AJ63" s="386">
        <f t="shared" si="77"/>
        <v>1.3037367316064437</v>
      </c>
      <c r="AK63" s="386">
        <f t="shared" si="78"/>
        <v>3.2294859841457187E-3</v>
      </c>
      <c r="AL63" s="386">
        <f t="shared" si="79"/>
        <v>5.7488094717986812E-2</v>
      </c>
      <c r="AM63" s="386">
        <f t="shared" si="80"/>
        <v>0</v>
      </c>
      <c r="AN63" s="386">
        <f t="shared" si="81"/>
        <v>6.0756823364031605E-2</v>
      </c>
      <c r="AO63" s="386">
        <f t="shared" si="49"/>
        <v>6.6050276010316278</v>
      </c>
      <c r="AP63" s="386">
        <f t="shared" si="82"/>
        <v>8.2890140259740286E-2</v>
      </c>
      <c r="AQ63" s="386">
        <f t="shared" si="83"/>
        <v>7.2000000000000008E-2</v>
      </c>
      <c r="AR63" s="386">
        <f t="shared" si="84"/>
        <v>0.15750119956433328</v>
      </c>
      <c r="AS63" s="386">
        <f t="shared" si="85"/>
        <v>0</v>
      </c>
      <c r="AT63" s="386">
        <f t="shared" si="86"/>
        <v>0</v>
      </c>
      <c r="AU63" s="386">
        <f t="shared" si="87"/>
        <v>0.10037292965999998</v>
      </c>
      <c r="AV63" s="386">
        <f t="shared" si="88"/>
        <v>1.3597835722718827E-2</v>
      </c>
      <c r="AW63" s="386">
        <f t="shared" si="33"/>
        <v>0.59328000000000003</v>
      </c>
      <c r="AX63" s="386">
        <f t="shared" si="89"/>
        <v>3.6000000000000004E-2</v>
      </c>
      <c r="AY63" s="386">
        <f t="shared" si="90"/>
        <v>9.8999999999999977E-2</v>
      </c>
      <c r="AZ63" s="386">
        <f t="shared" si="36"/>
        <v>4.3499999999999997E-2</v>
      </c>
      <c r="BA63" s="386">
        <f t="shared" si="57"/>
        <v>0.13499999999999998</v>
      </c>
      <c r="BB63" s="386">
        <f t="shared" si="58"/>
        <v>1.5888148322043074</v>
      </c>
      <c r="BC63">
        <f t="shared" si="91"/>
        <v>77.760000000000005</v>
      </c>
      <c r="BD63" s="604">
        <f t="shared" si="51"/>
        <v>0.97997682970358024</v>
      </c>
      <c r="BE63" s="614">
        <f t="shared" si="92"/>
        <v>6.3501478469815797</v>
      </c>
      <c r="BF63" s="614">
        <f t="shared" si="93"/>
        <v>9.5312133176066638</v>
      </c>
      <c r="BG63" s="9"/>
      <c r="BH63" s="4">
        <f t="shared" si="52"/>
        <v>97.997682970358028</v>
      </c>
      <c r="BI63" s="386">
        <f t="shared" si="53"/>
        <v>0.15370967175691264</v>
      </c>
      <c r="BJ63" s="386">
        <f t="shared" si="54"/>
        <v>0.6899553455038967</v>
      </c>
      <c r="BK63" s="386">
        <f t="shared" si="94"/>
        <v>0.12700295693963159</v>
      </c>
      <c r="BL63" s="386">
        <f t="shared" si="95"/>
        <v>0.19062426635213328</v>
      </c>
      <c r="BM63" s="386">
        <f t="shared" si="55"/>
        <v>1.3597835722718827E-2</v>
      </c>
      <c r="BS63" s="18"/>
      <c r="BT63" s="19"/>
    </row>
    <row r="64" spans="1:74" x14ac:dyDescent="0.2">
      <c r="A64" s="75"/>
      <c r="B64" s="30"/>
      <c r="G64">
        <v>55</v>
      </c>
      <c r="H64" s="610">
        <f t="shared" si="59"/>
        <v>12</v>
      </c>
      <c r="I64" s="4" t="str">
        <f t="shared" si="60"/>
        <v>BUCK-BST</v>
      </c>
      <c r="J64">
        <f t="shared" si="43"/>
        <v>3</v>
      </c>
      <c r="K64" s="386">
        <f t="shared" si="96"/>
        <v>6.6</v>
      </c>
      <c r="L64" s="4">
        <f t="shared" si="61"/>
        <v>7.3333333333333321</v>
      </c>
      <c r="M64" s="4">
        <f t="shared" si="56"/>
        <v>6.8571428571428568</v>
      </c>
      <c r="N64" s="386">
        <f t="shared" si="62"/>
        <v>0.96250000000000002</v>
      </c>
      <c r="O64" s="386">
        <f t="shared" si="63"/>
        <v>3.7499999999999943E-2</v>
      </c>
      <c r="P64" s="4">
        <f t="shared" si="64"/>
        <v>0</v>
      </c>
      <c r="Q64" s="4">
        <f t="shared" si="65"/>
        <v>6.8571428571428568</v>
      </c>
      <c r="R64" s="386">
        <f t="shared" si="7"/>
        <v>0.15952866290905676</v>
      </c>
      <c r="S64" s="386">
        <f t="shared" si="45"/>
        <v>0</v>
      </c>
      <c r="T64" s="386">
        <f t="shared" si="46"/>
        <v>0.15952866290905676</v>
      </c>
      <c r="U64" s="4">
        <f t="shared" si="66"/>
        <v>1.3027443560203416</v>
      </c>
      <c r="V64" s="386">
        <f t="shared" si="9"/>
        <v>3.3942857142857091E-3</v>
      </c>
      <c r="W64" s="386">
        <f t="shared" si="47"/>
        <v>3.3942857142857091E-3</v>
      </c>
      <c r="X64" s="4">
        <f t="shared" si="67"/>
        <v>0</v>
      </c>
      <c r="Y64" s="386">
        <f t="shared" si="11"/>
        <v>0</v>
      </c>
      <c r="Z64" s="603">
        <f t="shared" si="48"/>
        <v>0</v>
      </c>
      <c r="AA64" s="386">
        <f t="shared" si="68"/>
        <v>6.7273429269766574</v>
      </c>
      <c r="AB64" s="386">
        <f t="shared" si="69"/>
        <v>0.2579657142857143</v>
      </c>
      <c r="AC64" s="386">
        <f t="shared" si="70"/>
        <v>3.3881249999999988E-2</v>
      </c>
      <c r="AD64" s="386">
        <f t="shared" si="71"/>
        <v>0</v>
      </c>
      <c r="AE64" s="386">
        <f t="shared" si="72"/>
        <v>0.30772338062266225</v>
      </c>
      <c r="AF64" s="386">
        <f t="shared" si="73"/>
        <v>1.3278800044139711</v>
      </c>
      <c r="AG64" s="386">
        <f t="shared" si="74"/>
        <v>1.0050612244897953E-2</v>
      </c>
      <c r="AH64" s="386">
        <f t="shared" si="75"/>
        <v>6.6000000000000003E-2</v>
      </c>
      <c r="AI64" s="386">
        <f t="shared" si="76"/>
        <v>7.6203791196278944E-2</v>
      </c>
      <c r="AJ64" s="386">
        <f t="shared" si="77"/>
        <v>1.3278800044139702</v>
      </c>
      <c r="AK64" s="386">
        <f t="shared" si="78"/>
        <v>3.3502040816326467E-3</v>
      </c>
      <c r="AL64" s="386">
        <f t="shared" si="79"/>
        <v>5.7488094717986812E-2</v>
      </c>
      <c r="AM64" s="386">
        <f t="shared" si="80"/>
        <v>0</v>
      </c>
      <c r="AN64" s="386">
        <f t="shared" si="81"/>
        <v>6.0879090274964513E-2</v>
      </c>
      <c r="AO64" s="386">
        <f t="shared" si="49"/>
        <v>6.7273429269766574</v>
      </c>
      <c r="AP64" s="386">
        <f t="shared" si="82"/>
        <v>8.5988571428571428E-2</v>
      </c>
      <c r="AQ64" s="386">
        <f t="shared" si="83"/>
        <v>7.333333333333332E-2</v>
      </c>
      <c r="AR64" s="386">
        <f t="shared" si="84"/>
        <v>0.16210982318392964</v>
      </c>
      <c r="AS64" s="386">
        <f t="shared" si="85"/>
        <v>0</v>
      </c>
      <c r="AT64" s="386">
        <f t="shared" si="86"/>
        <v>0</v>
      </c>
      <c r="AU64" s="386">
        <f t="shared" si="87"/>
        <v>0.10131205837499999</v>
      </c>
      <c r="AV64" s="386">
        <f t="shared" si="88"/>
        <v>1.4106122448979574E-2</v>
      </c>
      <c r="AW64" s="386">
        <f t="shared" si="33"/>
        <v>0.59328000000000003</v>
      </c>
      <c r="AX64" s="386">
        <f t="shared" si="89"/>
        <v>3.6000000000000004E-2</v>
      </c>
      <c r="AY64" s="386">
        <f t="shared" si="90"/>
        <v>9.8999999999999977E-2</v>
      </c>
      <c r="AZ64" s="386">
        <f t="shared" si="36"/>
        <v>4.3499999999999997E-2</v>
      </c>
      <c r="BA64" s="386">
        <f t="shared" si="57"/>
        <v>0.13499999999999998</v>
      </c>
      <c r="BB64" s="386">
        <f t="shared" si="58"/>
        <v>1.6135372147251574</v>
      </c>
      <c r="BC64">
        <f t="shared" si="91"/>
        <v>79.199999999999989</v>
      </c>
      <c r="BD64" s="604">
        <f t="shared" si="51"/>
        <v>0.98003382514444437</v>
      </c>
      <c r="BE64" s="614">
        <f t="shared" si="92"/>
        <v>6.3872524401232251</v>
      </c>
      <c r="BF64" s="614">
        <f t="shared" si="93"/>
        <v>9.7771401223839813</v>
      </c>
      <c r="BG64" s="9"/>
      <c r="BH64" s="4">
        <f t="shared" si="52"/>
        <v>98.003382514444439</v>
      </c>
      <c r="BI64" s="386">
        <f t="shared" si="53"/>
        <v>0.15952866290905676</v>
      </c>
      <c r="BJ64" s="386">
        <f t="shared" si="54"/>
        <v>0.70822814365283537</v>
      </c>
      <c r="BK64" s="386">
        <f t="shared" si="94"/>
        <v>0.12774504880246451</v>
      </c>
      <c r="BL64" s="386">
        <f t="shared" si="95"/>
        <v>0.19554280244767963</v>
      </c>
      <c r="BM64" s="386">
        <f t="shared" si="55"/>
        <v>1.4106122448979574E-2</v>
      </c>
      <c r="BS64" s="18"/>
      <c r="BT64" s="19"/>
    </row>
    <row r="65" spans="1:72" x14ac:dyDescent="0.2">
      <c r="G65">
        <v>56</v>
      </c>
      <c r="H65" s="610">
        <f t="shared" si="59"/>
        <v>12</v>
      </c>
      <c r="I65" s="4" t="str">
        <f t="shared" si="60"/>
        <v>BUCK-BST</v>
      </c>
      <c r="J65">
        <f t="shared" si="43"/>
        <v>3</v>
      </c>
      <c r="K65" s="386">
        <f t="shared" si="96"/>
        <v>6.72</v>
      </c>
      <c r="L65" s="4">
        <f t="shared" si="61"/>
        <v>7.4666666666666659</v>
      </c>
      <c r="M65" s="4">
        <f t="shared" si="56"/>
        <v>6.9818181818181815</v>
      </c>
      <c r="N65" s="386">
        <f t="shared" si="62"/>
        <v>0.96250000000000002</v>
      </c>
      <c r="O65" s="386">
        <f t="shared" si="63"/>
        <v>3.7499999999999943E-2</v>
      </c>
      <c r="P65" s="4">
        <f t="shared" si="64"/>
        <v>0</v>
      </c>
      <c r="Q65" s="4">
        <f t="shared" si="65"/>
        <v>6.9818181818181815</v>
      </c>
      <c r="R65" s="386">
        <f t="shared" si="7"/>
        <v>0.16545992721298095</v>
      </c>
      <c r="S65" s="386">
        <f t="shared" si="45"/>
        <v>0</v>
      </c>
      <c r="T65" s="386">
        <f t="shared" si="46"/>
        <v>0.16545992721298095</v>
      </c>
      <c r="U65" s="4">
        <f t="shared" si="66"/>
        <v>1.3264306170388933</v>
      </c>
      <c r="V65" s="386">
        <f t="shared" si="9"/>
        <v>3.5188363636363589E-3</v>
      </c>
      <c r="W65" s="386">
        <f t="shared" si="47"/>
        <v>3.5188363636363589E-3</v>
      </c>
      <c r="X65" s="4">
        <f t="shared" si="67"/>
        <v>0</v>
      </c>
      <c r="Y65" s="386">
        <f t="shared" si="11"/>
        <v>0</v>
      </c>
      <c r="Z65" s="603">
        <f t="shared" si="48"/>
        <v>0</v>
      </c>
      <c r="AA65" s="386">
        <f t="shared" si="68"/>
        <v>6.8496582529216878</v>
      </c>
      <c r="AB65" s="386">
        <f t="shared" si="69"/>
        <v>0.26743156363636372</v>
      </c>
      <c r="AC65" s="386">
        <f t="shared" si="70"/>
        <v>3.4497272727272724E-2</v>
      </c>
      <c r="AD65" s="386">
        <f t="shared" si="71"/>
        <v>0</v>
      </c>
      <c r="AE65" s="386">
        <f t="shared" si="72"/>
        <v>0.3189904598565399</v>
      </c>
      <c r="AF65" s="386">
        <f t="shared" si="73"/>
        <v>1.352023277221498</v>
      </c>
      <c r="AG65" s="386">
        <f t="shared" si="74"/>
        <v>1.0419411570247929E-2</v>
      </c>
      <c r="AH65" s="386">
        <f t="shared" si="75"/>
        <v>6.7199999999999996E-2</v>
      </c>
      <c r="AI65" s="386">
        <f t="shared" si="76"/>
        <v>7.7781499060500373E-2</v>
      </c>
      <c r="AJ65" s="386">
        <f t="shared" si="77"/>
        <v>1.3520232772214971</v>
      </c>
      <c r="AK65" s="386">
        <f t="shared" si="78"/>
        <v>3.4731371900826387E-3</v>
      </c>
      <c r="AL65" s="386">
        <f t="shared" si="79"/>
        <v>5.7488094717986812E-2</v>
      </c>
      <c r="AM65" s="386">
        <f t="shared" si="80"/>
        <v>0</v>
      </c>
      <c r="AN65" s="386">
        <f t="shared" si="81"/>
        <v>6.1003606687092274E-2</v>
      </c>
      <c r="AO65" s="386">
        <f t="shared" si="49"/>
        <v>6.8496582529216878</v>
      </c>
      <c r="AP65" s="386">
        <f t="shared" si="82"/>
        <v>8.9143854545454565E-2</v>
      </c>
      <c r="AQ65" s="386">
        <f t="shared" si="83"/>
        <v>7.4666666666666659E-2</v>
      </c>
      <c r="AR65" s="386">
        <f t="shared" si="84"/>
        <v>0.16678407629975389</v>
      </c>
      <c r="AS65" s="386">
        <f t="shared" si="85"/>
        <v>0</v>
      </c>
      <c r="AT65" s="386">
        <f t="shared" si="86"/>
        <v>0</v>
      </c>
      <c r="AU65" s="386">
        <f t="shared" si="87"/>
        <v>0.10225107935999998</v>
      </c>
      <c r="AV65" s="386">
        <f t="shared" si="88"/>
        <v>1.4623735537190067E-2</v>
      </c>
      <c r="AW65" s="386">
        <f t="shared" si="33"/>
        <v>0.59328000000000003</v>
      </c>
      <c r="AX65" s="386">
        <f t="shared" si="89"/>
        <v>3.6000000000000004E-2</v>
      </c>
      <c r="AY65" s="386">
        <f t="shared" si="90"/>
        <v>9.8999999999999977E-2</v>
      </c>
      <c r="AZ65" s="386">
        <f t="shared" si="36"/>
        <v>4.3499999999999997E-2</v>
      </c>
      <c r="BA65" s="386">
        <f t="shared" si="57"/>
        <v>0.13499999999999998</v>
      </c>
      <c r="BB65" s="386">
        <f t="shared" si="58"/>
        <v>1.6386932203776938</v>
      </c>
      <c r="BC65">
        <f t="shared" si="91"/>
        <v>80.64</v>
      </c>
      <c r="BD65" s="604">
        <f t="shared" si="51"/>
        <v>0.98008362607329502</v>
      </c>
      <c r="BE65" s="614">
        <f t="shared" si="92"/>
        <v>6.4244659532346136</v>
      </c>
      <c r="BF65" s="614">
        <f t="shared" si="93"/>
        <v>10.026346624427694</v>
      </c>
      <c r="BG65" s="9"/>
      <c r="BH65" s="4">
        <f t="shared" si="52"/>
        <v>98.008362607329502</v>
      </c>
      <c r="BI65" s="386">
        <f t="shared" si="53"/>
        <v>0.16545992721298095</v>
      </c>
      <c r="BJ65" s="386">
        <f t="shared" si="54"/>
        <v>0.72681072126388635</v>
      </c>
      <c r="BK65" s="386">
        <f t="shared" si="94"/>
        <v>0.12848931906469227</v>
      </c>
      <c r="BL65" s="386">
        <f t="shared" si="95"/>
        <v>0.20052693248855388</v>
      </c>
      <c r="BM65" s="386">
        <f t="shared" si="55"/>
        <v>1.4623735537190067E-2</v>
      </c>
      <c r="BS65" s="18"/>
      <c r="BT65" s="19"/>
    </row>
    <row r="66" spans="1:72" x14ac:dyDescent="0.2">
      <c r="A66" s="11" t="s">
        <v>81</v>
      </c>
      <c r="B66" s="31"/>
      <c r="C66" s="31"/>
      <c r="G66">
        <v>57</v>
      </c>
      <c r="H66" s="610">
        <f t="shared" si="59"/>
        <v>12</v>
      </c>
      <c r="I66" s="4" t="str">
        <f t="shared" si="60"/>
        <v>BUCK-BST</v>
      </c>
      <c r="J66">
        <f t="shared" si="43"/>
        <v>3</v>
      </c>
      <c r="K66" s="386">
        <f t="shared" si="96"/>
        <v>6.84</v>
      </c>
      <c r="L66" s="4">
        <f t="shared" si="61"/>
        <v>7.6</v>
      </c>
      <c r="M66" s="4">
        <f t="shared" si="56"/>
        <v>7.1064935064935062</v>
      </c>
      <c r="N66" s="386">
        <f t="shared" si="62"/>
        <v>0.96250000000000002</v>
      </c>
      <c r="O66" s="386">
        <f t="shared" si="63"/>
        <v>3.7499999999999943E-2</v>
      </c>
      <c r="P66" s="4">
        <f t="shared" si="64"/>
        <v>0</v>
      </c>
      <c r="Q66" s="4">
        <f t="shared" si="65"/>
        <v>7.1064935064935062</v>
      </c>
      <c r="R66" s="386">
        <f t="shared" si="7"/>
        <v>0.1715037728351328</v>
      </c>
      <c r="S66" s="386">
        <f t="shared" si="45"/>
        <v>0</v>
      </c>
      <c r="T66" s="386">
        <f t="shared" si="46"/>
        <v>0.1715037728351328</v>
      </c>
      <c r="U66" s="4">
        <f t="shared" si="66"/>
        <v>1.3501168780574448</v>
      </c>
      <c r="V66" s="386">
        <f t="shared" si="9"/>
        <v>3.6456311688311629E-3</v>
      </c>
      <c r="W66" s="386">
        <f t="shared" si="47"/>
        <v>3.6456311688311629E-3</v>
      </c>
      <c r="X66" s="4">
        <f t="shared" si="67"/>
        <v>0</v>
      </c>
      <c r="Y66" s="386">
        <f t="shared" si="11"/>
        <v>0</v>
      </c>
      <c r="Z66" s="603">
        <f t="shared" si="48"/>
        <v>0</v>
      </c>
      <c r="AA66" s="386">
        <f t="shared" si="68"/>
        <v>6.9719735788667174</v>
      </c>
      <c r="AB66" s="386">
        <f t="shared" si="69"/>
        <v>0.2770679688311688</v>
      </c>
      <c r="AC66" s="386">
        <f t="shared" si="70"/>
        <v>3.5113295454545453E-2</v>
      </c>
      <c r="AD66" s="386">
        <f t="shared" si="71"/>
        <v>0</v>
      </c>
      <c r="AE66" s="386">
        <f t="shared" si="72"/>
        <v>0.33049519051458343</v>
      </c>
      <c r="AF66" s="386">
        <f t="shared" si="73"/>
        <v>1.3761665500290245</v>
      </c>
      <c r="AG66" s="386">
        <f t="shared" si="74"/>
        <v>1.079485592848709E-2</v>
      </c>
      <c r="AH66" s="386">
        <f t="shared" si="75"/>
        <v>6.8400000000000002E-2</v>
      </c>
      <c r="AI66" s="386">
        <f t="shared" si="76"/>
        <v>7.9366205278802171E-2</v>
      </c>
      <c r="AJ66" s="386">
        <f t="shared" si="77"/>
        <v>1.3761665500290239</v>
      </c>
      <c r="AK66" s="386">
        <f t="shared" si="78"/>
        <v>3.5982853094956931E-3</v>
      </c>
      <c r="AL66" s="386">
        <f t="shared" si="79"/>
        <v>5.7488094717986812E-2</v>
      </c>
      <c r="AM66" s="386">
        <f t="shared" si="80"/>
        <v>0</v>
      </c>
      <c r="AN66" s="386">
        <f t="shared" si="81"/>
        <v>6.1130372932059591E-2</v>
      </c>
      <c r="AO66" s="386">
        <f t="shared" si="49"/>
        <v>6.9719735788667174</v>
      </c>
      <c r="AP66" s="386">
        <f t="shared" si="82"/>
        <v>9.2355989610389599E-2</v>
      </c>
      <c r="AQ66" s="386">
        <f t="shared" si="83"/>
        <v>7.5999999999999998E-2</v>
      </c>
      <c r="AR66" s="386">
        <f t="shared" si="84"/>
        <v>0.17152424794257243</v>
      </c>
      <c r="AS66" s="386">
        <f t="shared" si="85"/>
        <v>0</v>
      </c>
      <c r="AT66" s="386">
        <f t="shared" si="86"/>
        <v>0</v>
      </c>
      <c r="AU66" s="386">
        <f t="shared" si="87"/>
        <v>0.10318999261499998</v>
      </c>
      <c r="AV66" s="386">
        <f t="shared" si="88"/>
        <v>1.5150674987350295E-2</v>
      </c>
      <c r="AW66" s="386">
        <f t="shared" si="33"/>
        <v>0.59328000000000003</v>
      </c>
      <c r="AX66" s="386">
        <f t="shared" si="89"/>
        <v>3.6000000000000004E-2</v>
      </c>
      <c r="AY66" s="386">
        <f t="shared" si="90"/>
        <v>9.8999999999999977E-2</v>
      </c>
      <c r="AZ66" s="386">
        <f t="shared" si="36"/>
        <v>4.3499999999999997E-2</v>
      </c>
      <c r="BA66" s="386">
        <f t="shared" si="57"/>
        <v>0.13499999999999998</v>
      </c>
      <c r="BB66" s="386">
        <f t="shared" si="58"/>
        <v>1.6642860882743318</v>
      </c>
      <c r="BC66">
        <f t="shared" si="91"/>
        <v>82.08</v>
      </c>
      <c r="BD66" s="604">
        <f t="shared" si="51"/>
        <v>0.9801265714233921</v>
      </c>
      <c r="BE66" s="614">
        <f t="shared" si="92"/>
        <v>6.4617884028979793</v>
      </c>
      <c r="BF66" s="614">
        <f t="shared" si="93"/>
        <v>10.278847275276121</v>
      </c>
      <c r="BG66" s="9"/>
      <c r="BH66" s="4">
        <f t="shared" si="52"/>
        <v>98.012657142339208</v>
      </c>
      <c r="BI66" s="386">
        <f t="shared" si="53"/>
        <v>0.1715037728351328</v>
      </c>
      <c r="BJ66" s="386">
        <f t="shared" si="54"/>
        <v>0.74570600928301756</v>
      </c>
      <c r="BK66" s="386">
        <f t="shared" si="94"/>
        <v>0.12923576805795958</v>
      </c>
      <c r="BL66" s="386">
        <f t="shared" si="95"/>
        <v>0.20557694550552241</v>
      </c>
      <c r="BM66" s="386">
        <f t="shared" si="55"/>
        <v>1.5150674987350295E-2</v>
      </c>
      <c r="BS66" s="18"/>
      <c r="BT66" s="19"/>
    </row>
    <row r="67" spans="1:72" x14ac:dyDescent="0.2">
      <c r="A67" s="14" t="s">
        <v>59</v>
      </c>
      <c r="B67" s="15" t="s">
        <v>8</v>
      </c>
      <c r="C67" s="15" t="s">
        <v>80</v>
      </c>
      <c r="G67">
        <v>58</v>
      </c>
      <c r="H67" s="610">
        <f t="shared" si="59"/>
        <v>12</v>
      </c>
      <c r="I67" s="4" t="str">
        <f t="shared" si="60"/>
        <v>BUCK-BST</v>
      </c>
      <c r="J67">
        <f t="shared" si="43"/>
        <v>3</v>
      </c>
      <c r="K67" s="386">
        <f t="shared" si="96"/>
        <v>6.96</v>
      </c>
      <c r="L67" s="4">
        <f t="shared" si="61"/>
        <v>7.7333333333333325</v>
      </c>
      <c r="M67" s="4">
        <f t="shared" si="56"/>
        <v>7.2311688311688309</v>
      </c>
      <c r="N67" s="386">
        <f t="shared" si="62"/>
        <v>0.96250000000000002</v>
      </c>
      <c r="O67" s="386">
        <f t="shared" si="63"/>
        <v>3.7499999999999943E-2</v>
      </c>
      <c r="P67" s="4">
        <f t="shared" si="64"/>
        <v>0</v>
      </c>
      <c r="Q67" s="4">
        <f t="shared" si="65"/>
        <v>7.2311688311688309</v>
      </c>
      <c r="R67" s="386">
        <f t="shared" si="7"/>
        <v>0.177660514233104</v>
      </c>
      <c r="S67" s="386">
        <f t="shared" si="45"/>
        <v>0</v>
      </c>
      <c r="T67" s="386">
        <f t="shared" si="46"/>
        <v>0.177660514233104</v>
      </c>
      <c r="U67" s="4">
        <f t="shared" si="66"/>
        <v>1.3738031390759966</v>
      </c>
      <c r="V67" s="386">
        <f t="shared" si="9"/>
        <v>3.7746701298701241E-3</v>
      </c>
      <c r="W67" s="386">
        <f t="shared" si="47"/>
        <v>3.7746701298701241E-3</v>
      </c>
      <c r="X67" s="4">
        <f t="shared" si="67"/>
        <v>0</v>
      </c>
      <c r="Y67" s="386">
        <f t="shared" si="11"/>
        <v>0</v>
      </c>
      <c r="Z67" s="603">
        <f t="shared" si="48"/>
        <v>0</v>
      </c>
      <c r="AA67" s="386">
        <f t="shared" si="68"/>
        <v>7.0942889048117479</v>
      </c>
      <c r="AB67" s="386">
        <f t="shared" si="69"/>
        <v>0.28687492987012991</v>
      </c>
      <c r="AC67" s="386">
        <f t="shared" si="70"/>
        <v>3.5729318181818182E-2</v>
      </c>
      <c r="AD67" s="386">
        <f t="shared" si="71"/>
        <v>0</v>
      </c>
      <c r="AE67" s="386">
        <f t="shared" si="72"/>
        <v>0.34224027927510392</v>
      </c>
      <c r="AF67" s="386">
        <f t="shared" si="73"/>
        <v>1.4003098228365514</v>
      </c>
      <c r="AG67" s="386">
        <f t="shared" si="74"/>
        <v>1.1176945319615442E-2</v>
      </c>
      <c r="AH67" s="386">
        <f t="shared" si="75"/>
        <v>6.9599999999999995E-2</v>
      </c>
      <c r="AI67" s="386">
        <f t="shared" si="76"/>
        <v>8.0957917763622211E-2</v>
      </c>
      <c r="AJ67" s="386">
        <f t="shared" si="77"/>
        <v>1.4003098228365505</v>
      </c>
      <c r="AK67" s="386">
        <f t="shared" si="78"/>
        <v>3.7256484398718094E-3</v>
      </c>
      <c r="AL67" s="386">
        <f t="shared" si="79"/>
        <v>5.7488094717986812E-2</v>
      </c>
      <c r="AM67" s="386">
        <f t="shared" si="80"/>
        <v>0</v>
      </c>
      <c r="AN67" s="386">
        <f t="shared" si="81"/>
        <v>6.1259389347528649E-2</v>
      </c>
      <c r="AO67" s="386">
        <f t="shared" si="49"/>
        <v>7.0942889048117479</v>
      </c>
      <c r="AP67" s="386">
        <f t="shared" si="82"/>
        <v>9.5624976623376629E-2</v>
      </c>
      <c r="AQ67" s="386">
        <f t="shared" si="83"/>
        <v>7.7333333333333323E-2</v>
      </c>
      <c r="AR67" s="386">
        <f t="shared" si="84"/>
        <v>0.17633063247845751</v>
      </c>
      <c r="AS67" s="386">
        <f t="shared" si="85"/>
        <v>0</v>
      </c>
      <c r="AT67" s="386">
        <f t="shared" si="86"/>
        <v>0</v>
      </c>
      <c r="AU67" s="386">
        <f t="shared" si="87"/>
        <v>0.10412879813999998</v>
      </c>
      <c r="AV67" s="386">
        <f t="shared" si="88"/>
        <v>1.5686940799460258E-2</v>
      </c>
      <c r="AW67" s="386">
        <f t="shared" si="33"/>
        <v>0.59328000000000003</v>
      </c>
      <c r="AX67" s="386">
        <f t="shared" si="89"/>
        <v>3.6000000000000004E-2</v>
      </c>
      <c r="AY67" s="386">
        <f t="shared" si="90"/>
        <v>9.8999999999999977E-2</v>
      </c>
      <c r="AZ67" s="386">
        <f t="shared" si="36"/>
        <v>4.3499999999999997E-2</v>
      </c>
      <c r="BA67" s="386">
        <f t="shared" si="57"/>
        <v>0.13499999999999998</v>
      </c>
      <c r="BB67" s="386">
        <f t="shared" si="58"/>
        <v>1.6903191421671464</v>
      </c>
      <c r="BC67">
        <f t="shared" si="91"/>
        <v>83.52</v>
      </c>
      <c r="BD67" s="604">
        <f t="shared" si="51"/>
        <v>0.98016297604346525</v>
      </c>
      <c r="BE67" s="614">
        <f t="shared" si="92"/>
        <v>6.4992198059964315</v>
      </c>
      <c r="BF67" s="614">
        <f t="shared" si="93"/>
        <v>10.534656793232875</v>
      </c>
      <c r="BG67" s="9"/>
      <c r="BH67" s="4">
        <f t="shared" si="52"/>
        <v>98.016297604346519</v>
      </c>
      <c r="BI67" s="386">
        <f t="shared" si="53"/>
        <v>0.177660514233104</v>
      </c>
      <c r="BJ67" s="386">
        <f t="shared" si="54"/>
        <v>0.76491701700471226</v>
      </c>
      <c r="BK67" s="386">
        <f t="shared" si="94"/>
        <v>0.12998439611992862</v>
      </c>
      <c r="BL67" s="386">
        <f t="shared" si="95"/>
        <v>0.21069313586465749</v>
      </c>
      <c r="BM67" s="386">
        <f t="shared" si="55"/>
        <v>1.5686940799460258E-2</v>
      </c>
      <c r="BS67" s="18"/>
      <c r="BT67" s="19"/>
    </row>
    <row r="68" spans="1:72" x14ac:dyDescent="0.2">
      <c r="A68" s="32" t="s">
        <v>244</v>
      </c>
      <c r="B68" s="491" t="e">
        <f>#REF!</f>
        <v>#REF!</v>
      </c>
      <c r="C68" s="21" t="s">
        <v>19</v>
      </c>
      <c r="G68">
        <v>59</v>
      </c>
      <c r="H68" s="610">
        <f t="shared" si="59"/>
        <v>12</v>
      </c>
      <c r="I68" s="4" t="str">
        <f t="shared" si="60"/>
        <v>BUCK-BST</v>
      </c>
      <c r="J68">
        <f t="shared" si="43"/>
        <v>3</v>
      </c>
      <c r="K68" s="386">
        <f t="shared" si="96"/>
        <v>7.08</v>
      </c>
      <c r="L68" s="4">
        <f t="shared" si="61"/>
        <v>7.8666666666666671</v>
      </c>
      <c r="M68" s="4">
        <f t="shared" si="56"/>
        <v>7.3558441558441556</v>
      </c>
      <c r="N68" s="386">
        <f t="shared" si="62"/>
        <v>0.96250000000000002</v>
      </c>
      <c r="O68" s="386">
        <f t="shared" si="63"/>
        <v>3.7499999999999943E-2</v>
      </c>
      <c r="P68" s="4">
        <f t="shared" si="64"/>
        <v>0</v>
      </c>
      <c r="Q68" s="4">
        <f t="shared" si="65"/>
        <v>7.3558441558441556</v>
      </c>
      <c r="R68" s="386">
        <f t="shared" si="7"/>
        <v>0.18393047219724046</v>
      </c>
      <c r="S68" s="386">
        <f t="shared" si="45"/>
        <v>0</v>
      </c>
      <c r="T68" s="386">
        <f t="shared" si="46"/>
        <v>0.18393047219724046</v>
      </c>
      <c r="U68" s="4">
        <f t="shared" si="66"/>
        <v>1.3974894000945484</v>
      </c>
      <c r="V68" s="386">
        <f t="shared" si="9"/>
        <v>3.9059532467532413E-3</v>
      </c>
      <c r="W68" s="386">
        <f t="shared" si="47"/>
        <v>3.9059532467532413E-3</v>
      </c>
      <c r="X68" s="4">
        <f t="shared" si="67"/>
        <v>0</v>
      </c>
      <c r="Y68" s="386">
        <f t="shared" si="11"/>
        <v>0</v>
      </c>
      <c r="Z68" s="603">
        <f t="shared" si="48"/>
        <v>0</v>
      </c>
      <c r="AA68" s="386">
        <f t="shared" si="68"/>
        <v>7.2166042307567784</v>
      </c>
      <c r="AB68" s="386">
        <f t="shared" si="69"/>
        <v>0.29685244675324679</v>
      </c>
      <c r="AC68" s="386">
        <f t="shared" si="70"/>
        <v>3.634534090909091E-2</v>
      </c>
      <c r="AD68" s="386">
        <f t="shared" si="71"/>
        <v>0</v>
      </c>
      <c r="AE68" s="386">
        <f t="shared" si="72"/>
        <v>0.35422850749421969</v>
      </c>
      <c r="AF68" s="386">
        <f t="shared" si="73"/>
        <v>1.4244530956440782</v>
      </c>
      <c r="AG68" s="386">
        <f t="shared" si="74"/>
        <v>1.1565679743632986E-2</v>
      </c>
      <c r="AH68" s="386">
        <f t="shared" si="75"/>
        <v>7.0800000000000002E-2</v>
      </c>
      <c r="AI68" s="386">
        <f t="shared" si="76"/>
        <v>8.255664448579933E-2</v>
      </c>
      <c r="AJ68" s="386">
        <f t="shared" si="77"/>
        <v>1.4244530956440773</v>
      </c>
      <c r="AK68" s="386">
        <f t="shared" si="78"/>
        <v>3.8552265812109902E-3</v>
      </c>
      <c r="AL68" s="386">
        <f t="shared" si="79"/>
        <v>5.7488094717986812E-2</v>
      </c>
      <c r="AM68" s="386">
        <f t="shared" si="80"/>
        <v>0</v>
      </c>
      <c r="AN68" s="386">
        <f t="shared" si="81"/>
        <v>6.1390656277181356E-2</v>
      </c>
      <c r="AO68" s="386">
        <f t="shared" si="49"/>
        <v>7.2166042307567784</v>
      </c>
      <c r="AP68" s="386">
        <f t="shared" si="82"/>
        <v>9.8950815584415597E-2</v>
      </c>
      <c r="AQ68" s="386">
        <f t="shared" si="83"/>
        <v>7.8666666666666676E-2</v>
      </c>
      <c r="AR68" s="386">
        <f t="shared" si="84"/>
        <v>0.18120352966041686</v>
      </c>
      <c r="AS68" s="386">
        <f t="shared" si="85"/>
        <v>0</v>
      </c>
      <c r="AT68" s="386">
        <f t="shared" si="86"/>
        <v>0</v>
      </c>
      <c r="AU68" s="386">
        <f t="shared" si="87"/>
        <v>0.105067495935</v>
      </c>
      <c r="AV68" s="386">
        <f t="shared" si="88"/>
        <v>1.623253297351997E-2</v>
      </c>
      <c r="AW68" s="386">
        <f t="shared" si="33"/>
        <v>0.59328000000000003</v>
      </c>
      <c r="AX68" s="386">
        <f t="shared" si="89"/>
        <v>3.6000000000000004E-2</v>
      </c>
      <c r="AY68" s="386">
        <f t="shared" si="90"/>
        <v>9.8999999999999977E-2</v>
      </c>
      <c r="AZ68" s="386">
        <f t="shared" si="36"/>
        <v>4.3499999999999997E-2</v>
      </c>
      <c r="BA68" s="386">
        <f t="shared" si="57"/>
        <v>0.13499999999999998</v>
      </c>
      <c r="BB68" s="386">
        <f t="shared" si="58"/>
        <v>1.7167957922701309</v>
      </c>
      <c r="BC68">
        <f t="shared" si="91"/>
        <v>84.960000000000008</v>
      </c>
      <c r="BD68" s="604">
        <f t="shared" si="51"/>
        <v>0.98019313269972952</v>
      </c>
      <c r="BE68" s="614">
        <f t="shared" si="92"/>
        <v>6.5367601797140686</v>
      </c>
      <c r="BF68" s="614">
        <f t="shared" si="93"/>
        <v>10.793790165948343</v>
      </c>
      <c r="BG68" s="9"/>
      <c r="BH68" s="4">
        <f t="shared" si="52"/>
        <v>98.019313269972955</v>
      </c>
      <c r="BI68" s="386">
        <f t="shared" si="53"/>
        <v>0.18393047219724046</v>
      </c>
      <c r="BJ68" s="386">
        <f t="shared" si="54"/>
        <v>0.78444683385261715</v>
      </c>
      <c r="BK68" s="386">
        <f t="shared" si="94"/>
        <v>0.13073520359428137</v>
      </c>
      <c r="BL68" s="386">
        <f t="shared" si="95"/>
        <v>0.21587580331896686</v>
      </c>
      <c r="BM68" s="386">
        <f t="shared" si="55"/>
        <v>1.623253297351997E-2</v>
      </c>
      <c r="BS68" s="18"/>
      <c r="BT68" s="19"/>
    </row>
    <row r="69" spans="1:72" x14ac:dyDescent="0.2">
      <c r="A69" s="23" t="s">
        <v>82</v>
      </c>
      <c r="B69" s="491" t="e">
        <f>1-B68</f>
        <v>#REF!</v>
      </c>
      <c r="C69" s="21" t="s">
        <v>19</v>
      </c>
      <c r="G69">
        <v>60</v>
      </c>
      <c r="H69" s="610">
        <f t="shared" si="59"/>
        <v>12</v>
      </c>
      <c r="I69" s="4" t="str">
        <f t="shared" si="60"/>
        <v>BUCK-BST</v>
      </c>
      <c r="J69">
        <f t="shared" si="43"/>
        <v>3</v>
      </c>
      <c r="K69" s="386">
        <f t="shared" si="96"/>
        <v>7.2</v>
      </c>
      <c r="L69" s="4">
        <f t="shared" si="61"/>
        <v>8</v>
      </c>
      <c r="M69" s="4">
        <f t="shared" si="56"/>
        <v>7.4805194805194803</v>
      </c>
      <c r="N69" s="386">
        <f t="shared" si="62"/>
        <v>0.96250000000000002</v>
      </c>
      <c r="O69" s="386">
        <f t="shared" si="63"/>
        <v>3.7499999999999943E-2</v>
      </c>
      <c r="P69" s="4">
        <f t="shared" si="64"/>
        <v>0</v>
      </c>
      <c r="Q69" s="4">
        <f t="shared" si="65"/>
        <v>7.4805194805194803</v>
      </c>
      <c r="R69" s="386">
        <f t="shared" si="7"/>
        <v>0.19031397389317567</v>
      </c>
      <c r="S69" s="386">
        <f t="shared" si="45"/>
        <v>0</v>
      </c>
      <c r="T69" s="386">
        <f t="shared" si="46"/>
        <v>0.19031397389317567</v>
      </c>
      <c r="U69" s="4">
        <f t="shared" si="66"/>
        <v>1.4211756611130999</v>
      </c>
      <c r="V69" s="386">
        <f t="shared" si="9"/>
        <v>4.0394805194805131E-3</v>
      </c>
      <c r="W69" s="386">
        <f t="shared" si="47"/>
        <v>4.0394805194805131E-3</v>
      </c>
      <c r="X69" s="4">
        <f t="shared" si="67"/>
        <v>0</v>
      </c>
      <c r="Y69" s="386">
        <f t="shared" si="11"/>
        <v>0</v>
      </c>
      <c r="Z69" s="603">
        <f t="shared" si="48"/>
        <v>0</v>
      </c>
      <c r="AA69" s="386">
        <f t="shared" si="68"/>
        <v>7.338919556701808</v>
      </c>
      <c r="AB69" s="386">
        <f t="shared" si="69"/>
        <v>0.30700051948051954</v>
      </c>
      <c r="AC69" s="386">
        <f t="shared" si="70"/>
        <v>3.6961363636363632E-2</v>
      </c>
      <c r="AD69" s="386">
        <f t="shared" si="71"/>
        <v>0</v>
      </c>
      <c r="AE69" s="386">
        <f t="shared" si="72"/>
        <v>0.36646273299694587</v>
      </c>
      <c r="AF69" s="386">
        <f t="shared" si="73"/>
        <v>1.4485963684516048</v>
      </c>
      <c r="AG69" s="386">
        <f t="shared" si="74"/>
        <v>1.1961059200539711E-2</v>
      </c>
      <c r="AH69" s="386">
        <f t="shared" si="75"/>
        <v>7.2000000000000008E-2</v>
      </c>
      <c r="AI69" s="386">
        <f t="shared" si="76"/>
        <v>8.4162393474701724E-2</v>
      </c>
      <c r="AJ69" s="386">
        <f t="shared" si="77"/>
        <v>1.4485963684516041</v>
      </c>
      <c r="AK69" s="386">
        <f t="shared" si="78"/>
        <v>3.9870197335132333E-3</v>
      </c>
      <c r="AL69" s="386">
        <f t="shared" si="79"/>
        <v>5.7488094717986812E-2</v>
      </c>
      <c r="AM69" s="386">
        <f t="shared" si="80"/>
        <v>0</v>
      </c>
      <c r="AN69" s="386">
        <f t="shared" si="81"/>
        <v>6.1524174070721659E-2</v>
      </c>
      <c r="AO69" s="386">
        <f t="shared" si="49"/>
        <v>7.338919556701808</v>
      </c>
      <c r="AP69" s="386">
        <f t="shared" si="82"/>
        <v>0.1023335064935065</v>
      </c>
      <c r="AQ69" s="386">
        <f t="shared" si="83"/>
        <v>0.08</v>
      </c>
      <c r="AR69" s="386">
        <f t="shared" si="84"/>
        <v>0.186143244681167</v>
      </c>
      <c r="AS69" s="386">
        <f t="shared" si="85"/>
        <v>0</v>
      </c>
      <c r="AT69" s="386">
        <f t="shared" si="86"/>
        <v>0</v>
      </c>
      <c r="AU69" s="386">
        <f t="shared" si="87"/>
        <v>0.10600608599999999</v>
      </c>
      <c r="AV69" s="386">
        <f t="shared" si="88"/>
        <v>1.678745150952941E-2</v>
      </c>
      <c r="AW69" s="386">
        <f t="shared" si="33"/>
        <v>0.59328000000000003</v>
      </c>
      <c r="AX69" s="386">
        <f t="shared" si="89"/>
        <v>3.6000000000000004E-2</v>
      </c>
      <c r="AY69" s="386">
        <f t="shared" si="90"/>
        <v>9.8999999999999977E-2</v>
      </c>
      <c r="AZ69" s="386">
        <f t="shared" si="36"/>
        <v>4.3499999999999997E-2</v>
      </c>
      <c r="BA69" s="386">
        <f t="shared" si="57"/>
        <v>0.13499999999999998</v>
      </c>
      <c r="BB69" s="386">
        <f t="shared" si="58"/>
        <v>1.7437195371457217</v>
      </c>
      <c r="BC69">
        <f t="shared" si="91"/>
        <v>86.4</v>
      </c>
      <c r="BD69" s="604">
        <f t="shared" si="51"/>
        <v>0.98021731387894429</v>
      </c>
      <c r="BE69" s="614">
        <f t="shared" si="92"/>
        <v>6.5744095415360828</v>
      </c>
      <c r="BF69" s="614">
        <f t="shared" si="93"/>
        <v>11.056262653058349</v>
      </c>
      <c r="BG69" s="9"/>
      <c r="BH69" s="4">
        <f t="shared" si="52"/>
        <v>98.021731387894434</v>
      </c>
      <c r="BI69" s="386">
        <f t="shared" si="53"/>
        <v>0.19031397389317567</v>
      </c>
      <c r="BJ69" s="386">
        <f t="shared" si="54"/>
        <v>0.80429863122353618</v>
      </c>
      <c r="BK69" s="386">
        <f t="shared" si="94"/>
        <v>0.13148819083072166</v>
      </c>
      <c r="BL69" s="386">
        <f t="shared" si="95"/>
        <v>0.22112525306116698</v>
      </c>
      <c r="BM69" s="386">
        <f t="shared" si="55"/>
        <v>1.678745150952941E-2</v>
      </c>
      <c r="BS69" s="18"/>
      <c r="BT69" s="19"/>
    </row>
    <row r="70" spans="1:72" x14ac:dyDescent="0.2">
      <c r="A70" s="33" t="s">
        <v>245</v>
      </c>
      <c r="B70" s="491">
        <f>Iripple_Vinnom</f>
        <v>3.8183890577507588E-2</v>
      </c>
      <c r="C70" s="21" t="s">
        <v>2</v>
      </c>
      <c r="G70">
        <v>61</v>
      </c>
      <c r="H70" s="610">
        <f t="shared" si="59"/>
        <v>12</v>
      </c>
      <c r="I70" s="4" t="str">
        <f t="shared" si="60"/>
        <v>BUCK-BST</v>
      </c>
      <c r="J70">
        <f t="shared" si="43"/>
        <v>3</v>
      </c>
      <c r="K70" s="386">
        <f t="shared" si="96"/>
        <v>7.32</v>
      </c>
      <c r="L70" s="4">
        <f t="shared" si="61"/>
        <v>8.1333333333333329</v>
      </c>
      <c r="M70" s="4">
        <f t="shared" si="56"/>
        <v>7.6051948051948051</v>
      </c>
      <c r="N70" s="386">
        <f t="shared" si="62"/>
        <v>0.96250000000000002</v>
      </c>
      <c r="O70" s="386">
        <f t="shared" si="63"/>
        <v>3.7499999999999943E-2</v>
      </c>
      <c r="P70" s="4">
        <f t="shared" si="64"/>
        <v>0</v>
      </c>
      <c r="Q70" s="4">
        <f t="shared" si="65"/>
        <v>7.6051948051948051</v>
      </c>
      <c r="R70" s="386">
        <f t="shared" si="7"/>
        <v>0.196811352905299</v>
      </c>
      <c r="S70" s="386">
        <f t="shared" si="45"/>
        <v>0</v>
      </c>
      <c r="T70" s="386">
        <f t="shared" si="46"/>
        <v>0.196811352905299</v>
      </c>
      <c r="U70" s="4">
        <f t="shared" si="66"/>
        <v>1.4448619221316517</v>
      </c>
      <c r="V70" s="386">
        <f t="shared" si="9"/>
        <v>4.1752519480519421E-3</v>
      </c>
      <c r="W70" s="386">
        <f t="shared" si="47"/>
        <v>4.1752519480519421E-3</v>
      </c>
      <c r="X70" s="4">
        <f t="shared" si="67"/>
        <v>0</v>
      </c>
      <c r="Y70" s="386">
        <f t="shared" si="11"/>
        <v>0</v>
      </c>
      <c r="Z70" s="603">
        <f t="shared" si="48"/>
        <v>0</v>
      </c>
      <c r="AA70" s="386">
        <f t="shared" si="68"/>
        <v>7.4612348826468384</v>
      </c>
      <c r="AB70" s="386">
        <f t="shared" si="69"/>
        <v>0.31731914805194811</v>
      </c>
      <c r="AC70" s="386">
        <f t="shared" si="70"/>
        <v>3.7577386363636361E-2</v>
      </c>
      <c r="AD70" s="386">
        <f t="shared" si="71"/>
        <v>0</v>
      </c>
      <c r="AE70" s="386">
        <f t="shared" si="72"/>
        <v>0.3789458919327624</v>
      </c>
      <c r="AF70" s="386">
        <f t="shared" si="73"/>
        <v>1.4727396412591316</v>
      </c>
      <c r="AG70" s="386">
        <f t="shared" si="74"/>
        <v>1.2363083690335631E-2</v>
      </c>
      <c r="AH70" s="386">
        <f t="shared" si="75"/>
        <v>7.3200000000000001E-2</v>
      </c>
      <c r="AI70" s="386">
        <f t="shared" si="76"/>
        <v>8.5775172818356907E-2</v>
      </c>
      <c r="AJ70" s="386">
        <f t="shared" si="77"/>
        <v>1.4727396412591307</v>
      </c>
      <c r="AK70" s="386">
        <f t="shared" si="78"/>
        <v>4.1210278967785388E-3</v>
      </c>
      <c r="AL70" s="386">
        <f t="shared" si="79"/>
        <v>5.7488094717986812E-2</v>
      </c>
      <c r="AM70" s="386">
        <f t="shared" si="80"/>
        <v>0</v>
      </c>
      <c r="AN70" s="386">
        <f t="shared" si="81"/>
        <v>6.1659943083877837E-2</v>
      </c>
      <c r="AO70" s="386">
        <f t="shared" si="49"/>
        <v>7.4612348826468384</v>
      </c>
      <c r="AP70" s="386">
        <f t="shared" si="82"/>
        <v>0.10577304935064936</v>
      </c>
      <c r="AQ70" s="386">
        <f t="shared" si="83"/>
        <v>8.1333333333333327E-2</v>
      </c>
      <c r="AR70" s="386">
        <f t="shared" si="84"/>
        <v>0.19115008822706719</v>
      </c>
      <c r="AS70" s="386">
        <f t="shared" si="85"/>
        <v>0</v>
      </c>
      <c r="AT70" s="386">
        <f t="shared" si="86"/>
        <v>0</v>
      </c>
      <c r="AU70" s="386">
        <f t="shared" si="87"/>
        <v>0.10694456833499999</v>
      </c>
      <c r="AV70" s="386">
        <f t="shared" si="88"/>
        <v>1.7351696407488598E-2</v>
      </c>
      <c r="AW70" s="386">
        <f t="shared" si="33"/>
        <v>0.59328000000000003</v>
      </c>
      <c r="AX70" s="386">
        <f t="shared" si="89"/>
        <v>3.6000000000000004E-2</v>
      </c>
      <c r="AY70" s="386">
        <f t="shared" si="90"/>
        <v>9.8999999999999977E-2</v>
      </c>
      <c r="AZ70" s="386">
        <f t="shared" si="36"/>
        <v>4.3499999999999997E-2</v>
      </c>
      <c r="BA70" s="386">
        <f t="shared" si="57"/>
        <v>0.13499999999999998</v>
      </c>
      <c r="BB70" s="386">
        <f t="shared" si="58"/>
        <v>1.7710939656579041</v>
      </c>
      <c r="BC70">
        <f t="shared" si="91"/>
        <v>87.84</v>
      </c>
      <c r="BD70" s="604">
        <f t="shared" si="51"/>
        <v>0.98023577341510149</v>
      </c>
      <c r="BE70" s="614">
        <f t="shared" si="92"/>
        <v>6.6121679092488925</v>
      </c>
      <c r="BF70" s="614">
        <f t="shared" si="93"/>
        <v>11.322089788880859</v>
      </c>
      <c r="BG70" s="9"/>
      <c r="BH70" s="4">
        <f t="shared" si="52"/>
        <v>98.023577341510148</v>
      </c>
      <c r="BI70" s="386">
        <f t="shared" si="53"/>
        <v>0.196811352905299</v>
      </c>
      <c r="BJ70" s="386">
        <f t="shared" si="54"/>
        <v>0.82447566439706421</v>
      </c>
      <c r="BK70" s="386">
        <f t="shared" si="94"/>
        <v>0.13224335818497784</v>
      </c>
      <c r="BL70" s="386">
        <f t="shared" si="95"/>
        <v>0.22644179577761719</v>
      </c>
      <c r="BM70" s="386">
        <f t="shared" si="55"/>
        <v>1.7351696407488598E-2</v>
      </c>
      <c r="BS70" s="18"/>
      <c r="BT70" s="19"/>
    </row>
    <row r="71" spans="1:72" x14ac:dyDescent="0.2">
      <c r="A71" s="14" t="s">
        <v>63</v>
      </c>
      <c r="B71" s="15" t="s">
        <v>8</v>
      </c>
      <c r="C71" s="17" t="s">
        <v>80</v>
      </c>
      <c r="G71">
        <v>62</v>
      </c>
      <c r="H71" s="610">
        <f t="shared" si="59"/>
        <v>12</v>
      </c>
      <c r="I71" s="4" t="str">
        <f t="shared" si="60"/>
        <v>BUCK-BST</v>
      </c>
      <c r="J71">
        <f t="shared" si="43"/>
        <v>3</v>
      </c>
      <c r="K71" s="386">
        <f t="shared" si="96"/>
        <v>7.44</v>
      </c>
      <c r="L71" s="4">
        <f t="shared" si="61"/>
        <v>8.2666666666666657</v>
      </c>
      <c r="M71" s="4">
        <f t="shared" si="56"/>
        <v>7.7298701298701298</v>
      </c>
      <c r="N71" s="386">
        <f t="shared" si="62"/>
        <v>0.96250000000000002</v>
      </c>
      <c r="O71" s="386">
        <f t="shared" si="63"/>
        <v>3.7499999999999943E-2</v>
      </c>
      <c r="P71" s="4">
        <f t="shared" si="64"/>
        <v>0</v>
      </c>
      <c r="Q71" s="4">
        <f t="shared" si="65"/>
        <v>7.7298701298701298</v>
      </c>
      <c r="R71" s="386">
        <f t="shared" si="7"/>
        <v>0.20342294928116955</v>
      </c>
      <c r="S71" s="386">
        <f t="shared" si="45"/>
        <v>0</v>
      </c>
      <c r="T71" s="386">
        <f t="shared" si="46"/>
        <v>0.20342294928116955</v>
      </c>
      <c r="U71" s="4">
        <f t="shared" si="66"/>
        <v>1.4685481831502034</v>
      </c>
      <c r="V71" s="386">
        <f t="shared" si="9"/>
        <v>4.3132675324675266E-3</v>
      </c>
      <c r="W71" s="386">
        <f t="shared" si="47"/>
        <v>4.3132675324675266E-3</v>
      </c>
      <c r="X71" s="4">
        <f t="shared" si="67"/>
        <v>0</v>
      </c>
      <c r="Y71" s="386">
        <f t="shared" si="11"/>
        <v>0</v>
      </c>
      <c r="Z71" s="603">
        <f t="shared" si="48"/>
        <v>0</v>
      </c>
      <c r="AA71" s="386">
        <f t="shared" si="68"/>
        <v>7.5835502085918689</v>
      </c>
      <c r="AB71" s="386">
        <f t="shared" si="69"/>
        <v>0.32780833246753255</v>
      </c>
      <c r="AC71" s="386">
        <f t="shared" si="70"/>
        <v>3.819340909090909E-2</v>
      </c>
      <c r="AD71" s="386">
        <f t="shared" si="71"/>
        <v>0</v>
      </c>
      <c r="AE71" s="386">
        <f t="shared" si="72"/>
        <v>0.39168100069805006</v>
      </c>
      <c r="AF71" s="386">
        <f t="shared" si="73"/>
        <v>1.4968829140666584</v>
      </c>
      <c r="AG71" s="386">
        <f t="shared" si="74"/>
        <v>1.2771753213020738E-2</v>
      </c>
      <c r="AH71" s="386">
        <f t="shared" si="75"/>
        <v>7.4400000000000008E-2</v>
      </c>
      <c r="AI71" s="386">
        <f t="shared" si="76"/>
        <v>8.7394990663582653E-2</v>
      </c>
      <c r="AJ71" s="386">
        <f t="shared" si="77"/>
        <v>1.4968829140666575</v>
      </c>
      <c r="AK71" s="386">
        <f t="shared" si="78"/>
        <v>4.2572510710069079E-3</v>
      </c>
      <c r="AL71" s="386">
        <f t="shared" si="79"/>
        <v>5.7488094717986812E-2</v>
      </c>
      <c r="AM71" s="386">
        <f t="shared" si="80"/>
        <v>0</v>
      </c>
      <c r="AN71" s="386">
        <f t="shared" si="81"/>
        <v>6.1797963678404906E-2</v>
      </c>
      <c r="AO71" s="386">
        <f t="shared" si="49"/>
        <v>7.5835502085918689</v>
      </c>
      <c r="AP71" s="386">
        <f t="shared" si="82"/>
        <v>0.10926944415584418</v>
      </c>
      <c r="AQ71" s="386">
        <f t="shared" si="83"/>
        <v>8.2666666666666652E-2</v>
      </c>
      <c r="AR71" s="386">
        <f t="shared" si="84"/>
        <v>0.19622437653323352</v>
      </c>
      <c r="AS71" s="386">
        <f t="shared" si="85"/>
        <v>0</v>
      </c>
      <c r="AT71" s="386">
        <f t="shared" si="86"/>
        <v>0</v>
      </c>
      <c r="AU71" s="386">
        <f t="shared" si="87"/>
        <v>0.10788294293999998</v>
      </c>
      <c r="AV71" s="386">
        <f t="shared" si="88"/>
        <v>1.7925267667397517E-2</v>
      </c>
      <c r="AW71" s="386">
        <f t="shared" si="33"/>
        <v>0.59328000000000003</v>
      </c>
      <c r="AX71" s="386">
        <f t="shared" si="89"/>
        <v>3.6000000000000004E-2</v>
      </c>
      <c r="AY71" s="386">
        <f t="shared" si="90"/>
        <v>9.8999999999999977E-2</v>
      </c>
      <c r="AZ71" s="386">
        <f t="shared" si="36"/>
        <v>4.3499999999999997E-2</v>
      </c>
      <c r="BA71" s="386">
        <f t="shared" si="57"/>
        <v>0.13499999999999998</v>
      </c>
      <c r="BB71" s="386">
        <f t="shared" si="58"/>
        <v>1.798922758994306</v>
      </c>
      <c r="BC71">
        <f t="shared" si="91"/>
        <v>89.28</v>
      </c>
      <c r="BD71" s="604">
        <f t="shared" si="51"/>
        <v>0.98024874795945416</v>
      </c>
      <c r="BE71" s="614">
        <f t="shared" si="92"/>
        <v>6.6500353009402451</v>
      </c>
      <c r="BF71" s="614">
        <f t="shared" si="93"/>
        <v>11.591287385171675</v>
      </c>
      <c r="BG71" s="9"/>
      <c r="BH71" s="4">
        <f t="shared" si="52"/>
        <v>98.024874795945422</v>
      </c>
      <c r="BI71" s="386">
        <f t="shared" si="53"/>
        <v>0.20342294928116955</v>
      </c>
      <c r="BJ71" s="386">
        <f t="shared" si="54"/>
        <v>0.84498127451327121</v>
      </c>
      <c r="BK71" s="386">
        <f t="shared" si="94"/>
        <v>0.1330007060188049</v>
      </c>
      <c r="BL71" s="386">
        <f t="shared" si="95"/>
        <v>0.2318257477034335</v>
      </c>
      <c r="BM71" s="386">
        <f t="shared" si="55"/>
        <v>1.7925267667397517E-2</v>
      </c>
      <c r="BS71" s="18"/>
      <c r="BT71" s="19"/>
    </row>
    <row r="72" spans="1:72" x14ac:dyDescent="0.2">
      <c r="A72" s="32" t="s">
        <v>92</v>
      </c>
      <c r="B72" s="492">
        <f>(Qgd_Q1+Qgs_Q1/2)*(RdsonDRT+Rgate1)/(Vdd-Vsp_Q1)*1000000000</f>
        <v>4.1363636363636367</v>
      </c>
      <c r="C72" s="21" t="s">
        <v>79</v>
      </c>
      <c r="D72" s="118" t="s">
        <v>719</v>
      </c>
      <c r="G72">
        <v>63</v>
      </c>
      <c r="H72" s="610">
        <f t="shared" si="59"/>
        <v>12</v>
      </c>
      <c r="I72" s="4" t="str">
        <f t="shared" si="60"/>
        <v>BUCK-BST</v>
      </c>
      <c r="J72">
        <f t="shared" si="43"/>
        <v>3</v>
      </c>
      <c r="K72" s="386">
        <f t="shared" si="96"/>
        <v>7.56</v>
      </c>
      <c r="L72" s="4">
        <f t="shared" si="61"/>
        <v>8.3999999999999986</v>
      </c>
      <c r="M72" s="4">
        <f t="shared" si="56"/>
        <v>7.8545454545454536</v>
      </c>
      <c r="N72" s="386">
        <f t="shared" si="62"/>
        <v>0.96250000000000002</v>
      </c>
      <c r="O72" s="386">
        <f t="shared" si="63"/>
        <v>3.7499999999999943E-2</v>
      </c>
      <c r="P72" s="4">
        <f t="shared" si="64"/>
        <v>0</v>
      </c>
      <c r="Q72" s="4">
        <f t="shared" si="65"/>
        <v>7.8545454545454536</v>
      </c>
      <c r="R72" s="386">
        <f t="shared" si="7"/>
        <v>0.21014910957688637</v>
      </c>
      <c r="S72" s="386">
        <f t="shared" si="45"/>
        <v>0</v>
      </c>
      <c r="T72" s="386">
        <f t="shared" si="46"/>
        <v>0.21014910957688637</v>
      </c>
      <c r="U72" s="4">
        <f t="shared" si="66"/>
        <v>1.4922344441687549</v>
      </c>
      <c r="V72" s="386">
        <f t="shared" si="9"/>
        <v>4.4535272727272658E-3</v>
      </c>
      <c r="W72" s="386">
        <f t="shared" si="47"/>
        <v>4.4535272727272658E-3</v>
      </c>
      <c r="X72" s="4">
        <f t="shared" si="67"/>
        <v>0</v>
      </c>
      <c r="Y72" s="386">
        <f t="shared" si="11"/>
        <v>0</v>
      </c>
      <c r="Z72" s="603">
        <f t="shared" si="48"/>
        <v>0</v>
      </c>
      <c r="AA72" s="386">
        <f t="shared" si="68"/>
        <v>7.7058655345368976</v>
      </c>
      <c r="AB72" s="386">
        <f t="shared" si="69"/>
        <v>0.3384680727272727</v>
      </c>
      <c r="AC72" s="386">
        <f t="shared" si="70"/>
        <v>3.8809431818181812E-2</v>
      </c>
      <c r="AD72" s="386">
        <f t="shared" si="71"/>
        <v>0</v>
      </c>
      <c r="AE72" s="386">
        <f t="shared" si="72"/>
        <v>0.40467115792788766</v>
      </c>
      <c r="AF72" s="386">
        <f t="shared" si="73"/>
        <v>1.521026186874185</v>
      </c>
      <c r="AG72" s="386">
        <f t="shared" si="74"/>
        <v>1.3187067768595033E-2</v>
      </c>
      <c r="AH72" s="386">
        <f t="shared" si="75"/>
        <v>7.5600000000000001E-2</v>
      </c>
      <c r="AI72" s="386">
        <f t="shared" si="76"/>
        <v>8.9021855216119244E-2</v>
      </c>
      <c r="AJ72" s="386">
        <f t="shared" si="77"/>
        <v>1.5210261868741841</v>
      </c>
      <c r="AK72" s="386">
        <f t="shared" si="78"/>
        <v>4.3956892561983381E-3</v>
      </c>
      <c r="AL72" s="386">
        <f t="shared" si="79"/>
        <v>5.7488094717986812E-2</v>
      </c>
      <c r="AM72" s="386">
        <f t="shared" si="80"/>
        <v>0</v>
      </c>
      <c r="AN72" s="386">
        <f t="shared" si="81"/>
        <v>6.1938236222087009E-2</v>
      </c>
      <c r="AO72" s="386">
        <f t="shared" si="49"/>
        <v>7.7058655345368976</v>
      </c>
      <c r="AP72" s="386">
        <f t="shared" si="82"/>
        <v>0.11282269090909089</v>
      </c>
      <c r="AQ72" s="386">
        <f t="shared" si="83"/>
        <v>8.3999999999999991E-2</v>
      </c>
      <c r="AR72" s="386">
        <f t="shared" si="84"/>
        <v>0.20136643143985189</v>
      </c>
      <c r="AS72" s="386">
        <f t="shared" si="85"/>
        <v>0</v>
      </c>
      <c r="AT72" s="386">
        <f t="shared" si="86"/>
        <v>0</v>
      </c>
      <c r="AU72" s="386">
        <f t="shared" si="87"/>
        <v>0.10882120981499999</v>
      </c>
      <c r="AV72" s="386">
        <f t="shared" si="88"/>
        <v>1.8508165289256178E-2</v>
      </c>
      <c r="AW72" s="386">
        <f t="shared" si="33"/>
        <v>0.59328000000000003</v>
      </c>
      <c r="AX72" s="386">
        <f t="shared" si="89"/>
        <v>3.6000000000000004E-2</v>
      </c>
      <c r="AY72" s="386">
        <f t="shared" si="90"/>
        <v>9.8999999999999977E-2</v>
      </c>
      <c r="AZ72" s="386">
        <f t="shared" si="36"/>
        <v>4.3499999999999997E-2</v>
      </c>
      <c r="BA72" s="386">
        <f t="shared" si="57"/>
        <v>0.13499999999999998</v>
      </c>
      <c r="BB72" s="386">
        <f t="shared" si="58"/>
        <v>1.8272096927598158</v>
      </c>
      <c r="BC72">
        <f t="shared" si="91"/>
        <v>90.72</v>
      </c>
      <c r="BD72" s="604">
        <f t="shared" si="51"/>
        <v>0.98025645831110597</v>
      </c>
      <c r="BE72" s="614">
        <f t="shared" si="92"/>
        <v>6.6880117349993498</v>
      </c>
      <c r="BF72" s="614">
        <f t="shared" si="93"/>
        <v>11.863871533940094</v>
      </c>
      <c r="BG72" s="9"/>
      <c r="BH72" s="4">
        <f t="shared" si="52"/>
        <v>98.025645831110594</v>
      </c>
      <c r="BI72" s="386">
        <f t="shared" si="53"/>
        <v>0.21014910957688637</v>
      </c>
      <c r="BJ72" s="386">
        <f t="shared" si="54"/>
        <v>0.86581889062094586</v>
      </c>
      <c r="BK72" s="386">
        <f t="shared" si="94"/>
        <v>0.13376023469998699</v>
      </c>
      <c r="BL72" s="386">
        <f t="shared" si="95"/>
        <v>0.23727743067880189</v>
      </c>
      <c r="BM72" s="386">
        <f t="shared" si="55"/>
        <v>1.8508165289256178E-2</v>
      </c>
      <c r="BS72" s="18"/>
      <c r="BT72" s="19"/>
    </row>
    <row r="73" spans="1:72" x14ac:dyDescent="0.2">
      <c r="A73" s="33" t="s">
        <v>93</v>
      </c>
      <c r="B73" s="492">
        <f>(Qgd_Q1+Qgs_Q1/2)*(RdsonDRT2+Rgate1)/(Vsp_Q1)*1000000000</f>
        <v>2.7083333333333326</v>
      </c>
      <c r="C73" s="21" t="s">
        <v>79</v>
      </c>
      <c r="D73" s="118" t="s">
        <v>720</v>
      </c>
      <c r="G73">
        <v>64</v>
      </c>
      <c r="H73" s="610">
        <f t="shared" ref="H73:H109" si="97">Vin</f>
        <v>12</v>
      </c>
      <c r="I73" s="4" t="str">
        <f t="shared" ref="I73:I104" si="98">IF(H73&gt;VIN_BB_to_buck, "BUCK", IF(H73&lt;VIN_boost_to_BB,"BOOST","BUCK-BST"))</f>
        <v>BUCK-BST</v>
      </c>
      <c r="J73">
        <f t="shared" si="43"/>
        <v>3</v>
      </c>
      <c r="K73" s="386">
        <f t="shared" si="96"/>
        <v>7.68</v>
      </c>
      <c r="L73" s="4">
        <f t="shared" ref="L73:L104" si="99">Vout*K73/(Vin*Efficiency)</f>
        <v>8.5333333333333332</v>
      </c>
      <c r="M73" s="4">
        <f t="shared" si="56"/>
        <v>7.9792207792207783</v>
      </c>
      <c r="N73" s="386">
        <f t="shared" ref="N73:N109" si="100">CHOOSE(J73,(Vout+(Rdson2+Rs+Rdcr)*K73)/(Vin+(Rs+Rdson2-Rdson1)*K73), 1, IF(Vin&lt;Vout, D_max_buck_BB, Vout/Vin*(1-D_min_boost_exitBB_to_buck)))</f>
        <v>0.96250000000000002</v>
      </c>
      <c r="O73" s="386">
        <f t="shared" ref="O73:O109" si="101">CHOOSE(J73,0,(Vout+(Rdson3+Rdcr)*L73-Vin)/(Vout+(Rdson3-Rdson4-Rs)*L73), IF(Vin&gt;Vout,D_min_boost_exitBB_to_buck, (Vout-Vin*D_max_buck_BB)/Vout))</f>
        <v>3.7499999999999943E-2</v>
      </c>
      <c r="P73" s="4">
        <f t="shared" ref="P73:P104" si="102">MAX(0, CHOOSE(J73, (Vin-(Rdson1+Rdcr)*K73-Vout)*N73/(Fsw*Lf), (Vin-(Rdson4+Rdcr+Rs)*L73)*O73/(Fsw*Lf), IF(Vin&lt;Vout, (Vin-(Rdson4+Rdcr+Rs)*L73)*O73/(0.5*Fsw*Lf),(Vin-(Rdson1+Rdcr)*K73-Vout)*N73/(0.5*Fsw*Lf))))</f>
        <v>0</v>
      </c>
      <c r="Q73" s="4">
        <f t="shared" ref="Q73:Q104" si="103">CHOOSE(J73, SQRT(K73^2+(P73^2)/12), SQRT(L73^2+(P73^2)/12), SQRT(M73^2+(P73^2)/12))</f>
        <v>7.9792207792207783</v>
      </c>
      <c r="R73" s="386">
        <f t="shared" si="7"/>
        <v>0.2169901869034275</v>
      </c>
      <c r="S73" s="386">
        <f t="shared" si="45"/>
        <v>0</v>
      </c>
      <c r="T73" s="386">
        <f t="shared" si="46"/>
        <v>0.2169901869034275</v>
      </c>
      <c r="U73" s="4">
        <f t="shared" ref="U73:U109" si="104">IF(Vin&gt;Vout, P73/SQRT(12), SQRT(O73/(1-O73))*SQRT(K73^2+(P73^2)/12))</f>
        <v>1.5159207051873065</v>
      </c>
      <c r="V73" s="386">
        <f t="shared" si="9"/>
        <v>4.5960311688311613E-3</v>
      </c>
      <c r="W73" s="386">
        <f t="shared" si="47"/>
        <v>4.5960311688311613E-3</v>
      </c>
      <c r="X73" s="4">
        <f t="shared" ref="X73:X109" si="105">IF(Vin&gt;Vout, SQRT(N73*(1-N73))*SQRT(K73^2+(P73^2)/12), P73/SQRT(12))</f>
        <v>0</v>
      </c>
      <c r="Y73" s="386">
        <f t="shared" si="11"/>
        <v>0</v>
      </c>
      <c r="Z73" s="603">
        <f t="shared" si="48"/>
        <v>0</v>
      </c>
      <c r="AA73" s="386">
        <f t="shared" ref="AA73:AA109" si="106">CHOOSE(J73, SQRT(N73)*SQRT(K73^2+(P73^2)/12), SQRT(L73^2+(P73^2)/12), SQRT(N73)*SQRT(M73^2+(P73^2)/12))</f>
        <v>7.8281808604819281</v>
      </c>
      <c r="AB73" s="386">
        <f t="shared" ref="AB73:AB104" si="107">Rdson1*AA73^2</f>
        <v>0.34929836883116883</v>
      </c>
      <c r="AC73" s="386">
        <f t="shared" ref="AC73:AC109" si="108">CHOOSE(J73, (Vin*K73/2)*(Fsw)*(Tr_buck+Tf_buck), 0, (Vin*K73/2)*(Fsw/2)*(Tr_buck+Tf_buck))</f>
        <v>3.9425454545454541E-2</v>
      </c>
      <c r="AD73" s="386">
        <f t="shared" ref="AD73:AD109" si="109">CHOOSE(J73, IF(K73&gt;P73/2,0,ABS(K73-P73/2)*Vsd_Q1*Deadtime*Fsw),0, IF(K73&gt;P73/2,0,ABS(K73-P73/2)*Vsd_Q1*Deadtime*Fsw/2))</f>
        <v>0</v>
      </c>
      <c r="AE73" s="386">
        <f t="shared" ref="AE73:AE104" si="110">(AD73+AC73+AB73*(1+RdsonTopTc*Ta-RdsonTopTc*25))/(1-AB73*RdsonTopTc*ThetaJA_Q1)</f>
        <v>0.41791954655982511</v>
      </c>
      <c r="AF73" s="386">
        <f t="shared" ref="AF73:AF109" si="111">CHOOSE(J73, SQRT((1-N73))*SQRT(K73^2+(P73^2)/12), 0, SQRT((1-N73))*SQRT(M73^2+(P73^2)/12))</f>
        <v>1.5451694596817118</v>
      </c>
      <c r="AG73" s="386">
        <f t="shared" ref="AG73:AG104" si="112">Rdson2*AF73^2</f>
        <v>1.3609027357058517E-2</v>
      </c>
      <c r="AH73" s="386">
        <f t="shared" ref="AH73:AH109" si="113">CHOOSE(J73, IF(K73&lt;P73/2,Deadtime*Fsw*IF(VfdSky_Q2&gt;0,0,Vsd_Q2)*(K73+P73/2),2*Deadtime*Fsw*IF(VfdSky_Q2&gt;0,0,Vsd_Q2)*K73),0, IF(K73&lt;P73/2,Deadtime*Fsw/2*IF(VfdSky_Q2&gt;0,0,Vsd_Q2)*(K73+P73/2),2*Deadtime*Fsw/2*IF(VfdSky_Q2&gt;0,0,Vsd_Q2)*K73))</f>
        <v>7.6799999999999993E-2</v>
      </c>
      <c r="AI73" s="386">
        <f t="shared" ref="AI73:AI104" si="114">(AH73+AG73*(1+RdsonBotTc*Ta-RdsonBotTc*25))/(1-AG73*RdsonBotTc*ThetaJA_Q2)</f>
        <v>9.0655774740762987E-2</v>
      </c>
      <c r="AJ73" s="386">
        <f t="shared" ref="AJ73:AJ109" si="115">CHOOSE(J73, 0, SQRT(O73)*SQRT(L73^2+(P73^2)/12), SQRT(O73)*SQRT(M73^2+(P73^2)/12))</f>
        <v>1.5451694596817109</v>
      </c>
      <c r="AK73" s="386">
        <f t="shared" ref="AK73:AK104" si="116">Rdson4*AJ73^2</f>
        <v>4.5363424523528345E-3</v>
      </c>
      <c r="AL73" s="386">
        <f t="shared" ref="AL73:AL109" si="117">CHOOSE(J73, 0, (Vout*L73/2)*(Fsw)*(Tr_boost+Tf_boost), (Vout*Iout/2)*(Fsw/2)*(Tr_boost+Tf_boost))</f>
        <v>5.7488094717986812E-2</v>
      </c>
      <c r="AM73" s="386">
        <f t="shared" ref="AM73:AM109" si="118">IF(H73&gt;Vout, 0, IF(L73&gt;P73/2,0,ABS(L73-P73/2)*Vsd_Q4*Deadtime*Fsw))</f>
        <v>0</v>
      </c>
      <c r="AN73" s="386">
        <f t="shared" ref="AN73:AN104" si="119">(AM73+AL73+AK73*(1+RdsonTopTc*Ta-RdsonTopTc*25))/(1-AK73*RdsonTopTc*ThetaJA_Q4)</f>
        <v>6.2080761088739889E-2</v>
      </c>
      <c r="AO73" s="386">
        <f t="shared" si="49"/>
        <v>7.8281808604819281</v>
      </c>
      <c r="AP73" s="386">
        <f t="shared" ref="AP73:AP104" si="120">Rdson3*AO73^2</f>
        <v>0.11643278961038959</v>
      </c>
      <c r="AQ73" s="386">
        <f t="shared" ref="AQ73:AQ109" si="121">CHOOSE(J73, 0, IF(L73&lt;P73/2,Deadtime*Fsw*IF(VfdSky_Q3&gt;0,0,Vsd_Q3)*(L73+P73/2), 2*Deadtime*Fsw*IF(VfdSky_Q3&gt;0,0,Vsd_Q3)*L73), IF(L73&lt;P73/2,Deadtime*Fsw/2*IF(VfdSky_Q3&gt;0,0,Vsd_Q3)*(L73+P73/2), 2*Deadtime*Fsw/2*IF(VfdSky_Q3&gt;0,0,Vsd_Q3)*L73))</f>
        <v>8.533333333333333E-2</v>
      </c>
      <c r="AR73" s="386">
        <f t="shared" ref="AR73:AR104" si="122">(AQ73+AP73*(1+RdsonBotTc*Ta-RdsonBotTc*25))/(1-AP73*RdsonBotTc*ThetaJA_Q3)</f>
        <v>0.20657658044970989</v>
      </c>
      <c r="AS73" s="386">
        <f t="shared" ref="AS73:AS109" si="123">CHOOSE(J73, Rdson3*Q73^2, Rdson1*Q73^2, 0)</f>
        <v>0</v>
      </c>
      <c r="AT73" s="386">
        <f t="shared" ref="AT73:AT109" si="124">CHOOSE(J73, 2*Deadtime*Fsw*IF(VfdSky_Q2&gt;0,VfdSky_Q2,0)*K73, 2*Deadtime*Fsw*IF(VfdSky_Q3&gt;0,VfdSky_Q3,0)*L73, 2*Deadtime*Fsw/2*IF(VfdSky_Q2&gt;0,VfdSky_Q2,0)*K73+2*Deadtime*Fsw/2*IF(VfdSky_Q3&gt;0,VfdSky_Q3,0)*L73)</f>
        <v>0</v>
      </c>
      <c r="AU73" s="386">
        <f t="shared" ref="AU73:AU109" si="125">CHOOSE(J73, IF(QrrSky_Q2&gt;0,QrrSky_Q2,Qrr_Q2*K73/Iout)*Fsw*(Vin-K73*Rdson1), IF(QrrSky_Q3&gt;0,QrrSky_Q3,Qrr_Q3)*Fsw*Vout,  IF(QrrSky_Q2&gt;0,QrrSky_Q2,Qrr_Q2*K73/Iout)*Fsw/2*(Vin-K73*Rdson1)+IF(QrrSky_Q3&gt;0,QrrSky_Q3,Qrr_Q3)*Fsw/2*Vout)</f>
        <v>0.10975936895999999</v>
      </c>
      <c r="AV73" s="386">
        <f t="shared" ref="AV73:AV109" si="126">CHOOSE(J73, Rs*AF73^2, Rs*AJ73^2, Rs*(AF73^2+AJ73^2))</f>
        <v>1.9100389273064577E-2</v>
      </c>
      <c r="AW73" s="386">
        <f t="shared" ref="AW73:AW109" si="127">Rshunt_std/1000*Iout^2</f>
        <v>0.59328000000000003</v>
      </c>
      <c r="AX73" s="386">
        <f t="shared" ref="AX73:AX109" si="128">IF(Vout&gt;8, Iq*Vout, Iq*Vin)</f>
        <v>3.6000000000000004E-2</v>
      </c>
      <c r="AY73" s="386">
        <f t="shared" ref="AY73:AY109" si="129">CHOOSE(J73, (Qg_Q1+Qg_Q2)*Fsw, (Qg_Q3+Qg_Q4)*Fsw, (Qg_Q1+Qg_Q2+Qg_Q3+Qg_Q4)*Fsw/2)*IF(Vout&gt;8, Vout, Vin)</f>
        <v>9.8999999999999977E-2</v>
      </c>
      <c r="AZ73" s="386">
        <f t="shared" ref="AZ73:AZ109" si="130">(Vin-Vdd)*Fsw*(Qg_Q1+Qg_Q2)+(RdsonDRT+RdsonDRT2)*Fsw*Qg_Q1*Vdd/(RdsonDRT+2*Rgate1+RdsonDRT2)+(RdsonDRB+RdsonDRB2)*Fsw*Qg_Q2*Vdd/(RdsonDRB+2*Rgate2+RdsonDRB2)</f>
        <v>4.3499999999999997E-2</v>
      </c>
      <c r="BA73" s="386">
        <f t="shared" si="57"/>
        <v>0.13499999999999998</v>
      </c>
      <c r="BB73" s="386">
        <f t="shared" si="58"/>
        <v>1.8559586391443612</v>
      </c>
      <c r="BC73">
        <f t="shared" ref="BC73:BC109" si="131">Vout*K73</f>
        <v>92.16</v>
      </c>
      <c r="BD73" s="604">
        <f t="shared" si="51"/>
        <v>0.980259110623251</v>
      </c>
      <c r="BE73" s="614">
        <f t="shared" ref="BE73:BE109" si="132">IF(Vin&gt;Vout,ThetaJA_Q1*BK73,ThetaJA_Q4*BK73)</f>
        <v>6.726097230116995</v>
      </c>
      <c r="BF73" s="614">
        <f t="shared" ref="BF73:BF109" si="133">IF(Vin&gt;Vout, ThetaJA_Q2*BL73, ThetaJA_Q3*BL73)</f>
        <v>12.139858610325495</v>
      </c>
      <c r="BG73" s="9"/>
      <c r="BH73" s="4">
        <f t="shared" si="52"/>
        <v>98.025911062325093</v>
      </c>
      <c r="BI73" s="386">
        <f t="shared" si="53"/>
        <v>0.2169901869034275</v>
      </c>
      <c r="BJ73" s="386">
        <f t="shared" si="54"/>
        <v>0.88699203179903807</v>
      </c>
      <c r="BK73" s="386">
        <f t="shared" ref="BK73:BK109" si="134">IF(Vin&gt;Vout, AE73+AU73*0.66, AN73+AU73*0.66)</f>
        <v>0.1345219446023399</v>
      </c>
      <c r="BL73" s="386">
        <f t="shared" ref="BL73:BL109" si="135">IF(Vin&gt;Vout, AI73+AU73*0.33, AR73+AU73*0.33)</f>
        <v>0.2427971722065099</v>
      </c>
      <c r="BM73" s="386">
        <f t="shared" si="55"/>
        <v>1.9100389273064577E-2</v>
      </c>
      <c r="BS73" s="18"/>
      <c r="BT73" s="19"/>
    </row>
    <row r="74" spans="1:72" x14ac:dyDescent="0.2">
      <c r="A74" s="14" t="s">
        <v>118</v>
      </c>
      <c r="B74" s="15" t="s">
        <v>8</v>
      </c>
      <c r="C74" s="17" t="s">
        <v>80</v>
      </c>
      <c r="G74">
        <v>65</v>
      </c>
      <c r="H74" s="610">
        <f t="shared" si="97"/>
        <v>12</v>
      </c>
      <c r="I74" s="4" t="str">
        <f t="shared" si="98"/>
        <v>BUCK-BST</v>
      </c>
      <c r="J74">
        <f t="shared" ref="J74:J109" si="136">IF(I74="BOOST",2, IF(I74="BUCK", 1,3))</f>
        <v>3</v>
      </c>
      <c r="K74" s="386">
        <f t="shared" ref="K74:K109" si="137">Iout*G74/100</f>
        <v>7.8</v>
      </c>
      <c r="L74" s="4">
        <f t="shared" si="99"/>
        <v>8.6666666666666661</v>
      </c>
      <c r="M74" s="4">
        <f t="shared" si="56"/>
        <v>8.103896103896103</v>
      </c>
      <c r="N74" s="386">
        <f t="shared" si="100"/>
        <v>0.96250000000000002</v>
      </c>
      <c r="O74" s="386">
        <f t="shared" si="101"/>
        <v>3.7499999999999943E-2</v>
      </c>
      <c r="P74" s="4">
        <f t="shared" si="102"/>
        <v>0</v>
      </c>
      <c r="Q74" s="4">
        <f t="shared" si="103"/>
        <v>8.103896103896103</v>
      </c>
      <c r="R74" s="386">
        <f t="shared" ref="R74:R109" si="138">(Q74^2*Rdcr*(1+Ltc*Ta-Ltc*25))/(1-Q74^2*Rdcr*Ltc*ThetaCa)</f>
        <v>0.22394654097396843</v>
      </c>
      <c r="S74" s="386">
        <f t="shared" ref="S74:S109" si="139">7.759*10^-3*Fsw^0.9458*(0.00787*P74)^2.304</f>
        <v>0</v>
      </c>
      <c r="T74" s="386">
        <f t="shared" ref="T74:T109" si="140">R74+S74</f>
        <v>0.22394654097396843</v>
      </c>
      <c r="U74" s="4">
        <f t="shared" si="104"/>
        <v>1.5396069662058582</v>
      </c>
      <c r="V74" s="386">
        <f t="shared" ref="V74:V109" si="141">RCoutEsr*U74^2</f>
        <v>4.7407792207792131E-3</v>
      </c>
      <c r="W74" s="386">
        <f t="shared" ref="W74:W109" si="142">V74</f>
        <v>4.7407792207792131E-3</v>
      </c>
      <c r="X74" s="4">
        <f t="shared" si="105"/>
        <v>0</v>
      </c>
      <c r="Y74" s="386">
        <f t="shared" ref="Y74:Y109" si="143">RCinEsr*X74^2</f>
        <v>0</v>
      </c>
      <c r="Z74" s="603">
        <f t="shared" ref="Z74:Z109" si="144">Y74</f>
        <v>0</v>
      </c>
      <c r="AA74" s="386">
        <f t="shared" si="106"/>
        <v>7.9504961864269585</v>
      </c>
      <c r="AB74" s="386">
        <f t="shared" si="107"/>
        <v>0.36029922077922077</v>
      </c>
      <c r="AC74" s="386">
        <f t="shared" si="108"/>
        <v>4.004147727272727E-2</v>
      </c>
      <c r="AD74" s="386">
        <f t="shared" si="109"/>
        <v>0</v>
      </c>
      <c r="AE74" s="386">
        <f t="shared" si="110"/>
        <v>0.43142943597236011</v>
      </c>
      <c r="AF74" s="386">
        <f t="shared" si="111"/>
        <v>1.5693127324892384</v>
      </c>
      <c r="AG74" s="386">
        <f t="shared" si="112"/>
        <v>1.4037631978411189E-2</v>
      </c>
      <c r="AH74" s="386">
        <f t="shared" si="113"/>
        <v>7.8E-2</v>
      </c>
      <c r="AI74" s="386">
        <f t="shared" si="114"/>
        <v>9.2296757561500992E-2</v>
      </c>
      <c r="AJ74" s="386">
        <f t="shared" si="115"/>
        <v>1.5693127324892375</v>
      </c>
      <c r="AK74" s="386">
        <f t="shared" si="116"/>
        <v>4.6792106594703911E-3</v>
      </c>
      <c r="AL74" s="386">
        <f t="shared" si="117"/>
        <v>5.7488094717986812E-2</v>
      </c>
      <c r="AM74" s="386">
        <f t="shared" si="118"/>
        <v>0</v>
      </c>
      <c r="AN74" s="386">
        <f t="shared" si="119"/>
        <v>6.222553865821337E-2</v>
      </c>
      <c r="AO74" s="386">
        <f t="shared" ref="AO74:AO109" si="145">CHOOSE(J74, SQRT(K74^2+(P74^2)/12), SQRT(1-O74)*SQRT(L74^2+(P74^2)/12), SQRT(1-O74)*SQRT(M74^2+(P74^2)/12))</f>
        <v>7.9504961864269585</v>
      </c>
      <c r="AP74" s="386">
        <f t="shared" si="120"/>
        <v>0.12009974025974027</v>
      </c>
      <c r="AQ74" s="386">
        <f t="shared" si="121"/>
        <v>8.6666666666666656E-2</v>
      </c>
      <c r="AR74" s="386">
        <f t="shared" si="122"/>
        <v>0.21185515678696717</v>
      </c>
      <c r="AS74" s="386">
        <f t="shared" si="123"/>
        <v>0</v>
      </c>
      <c r="AT74" s="386">
        <f t="shared" si="124"/>
        <v>0</v>
      </c>
      <c r="AU74" s="386">
        <f t="shared" si="125"/>
        <v>0.11069742037499999</v>
      </c>
      <c r="AV74" s="386">
        <f t="shared" si="126"/>
        <v>1.970193961882271E-2</v>
      </c>
      <c r="AW74" s="386">
        <f t="shared" si="127"/>
        <v>0.59328000000000003</v>
      </c>
      <c r="AX74" s="386">
        <f t="shared" si="128"/>
        <v>3.6000000000000004E-2</v>
      </c>
      <c r="AY74" s="386">
        <f t="shared" si="129"/>
        <v>9.8999999999999977E-2</v>
      </c>
      <c r="AZ74" s="386">
        <f t="shared" si="130"/>
        <v>4.3499999999999997E-2</v>
      </c>
      <c r="BA74" s="386">
        <f t="shared" si="57"/>
        <v>0.13499999999999998</v>
      </c>
      <c r="BB74" s="386">
        <f t="shared" si="58"/>
        <v>1.8851735691676119</v>
      </c>
      <c r="BC74">
        <f t="shared" si="131"/>
        <v>93.6</v>
      </c>
      <c r="BD74" s="604">
        <f t="shared" ref="BD74:BD109" si="146">BC74/(BC74+BB74)</f>
        <v>0.98025689749831135</v>
      </c>
      <c r="BE74" s="614">
        <f t="shared" si="132"/>
        <v>6.7642918052856684</v>
      </c>
      <c r="BF74" s="614">
        <f t="shared" si="133"/>
        <v>12.41926527553586</v>
      </c>
      <c r="BG74" s="9"/>
      <c r="BH74" s="4">
        <f t="shared" ref="BH74:BH109" si="147">BD74*100</f>
        <v>98.02568974983113</v>
      </c>
      <c r="BI74" s="386">
        <f t="shared" ref="BI74:BI109" si="148">T74</f>
        <v>0.22394654097396843</v>
      </c>
      <c r="BJ74" s="386">
        <f t="shared" ref="BJ74:BJ109" si="149">AE74+AI74+AN74+AR74+AU74</f>
        <v>0.90850430935404158</v>
      </c>
      <c r="BK74" s="386">
        <f t="shared" si="134"/>
        <v>0.13528583610571338</v>
      </c>
      <c r="BL74" s="386">
        <f t="shared" si="135"/>
        <v>0.24838530551071719</v>
      </c>
      <c r="BM74" s="386">
        <f t="shared" ref="BM74:BM109" si="150">AV74</f>
        <v>1.970193961882271E-2</v>
      </c>
      <c r="BS74" s="18"/>
      <c r="BT74" s="19"/>
    </row>
    <row r="75" spans="1:72" x14ac:dyDescent="0.2">
      <c r="A75" s="34" t="s">
        <v>119</v>
      </c>
      <c r="B75" s="80">
        <f>BA9</f>
        <v>0.13499999999999998</v>
      </c>
      <c r="C75" s="81" t="s">
        <v>120</v>
      </c>
      <c r="G75">
        <v>66</v>
      </c>
      <c r="H75" s="610">
        <f t="shared" si="97"/>
        <v>12</v>
      </c>
      <c r="I75" s="4" t="str">
        <f t="shared" si="98"/>
        <v>BUCK-BST</v>
      </c>
      <c r="J75">
        <f t="shared" si="136"/>
        <v>3</v>
      </c>
      <c r="K75" s="386">
        <f t="shared" si="137"/>
        <v>7.92</v>
      </c>
      <c r="L75" s="4">
        <f t="shared" si="99"/>
        <v>8.7999999999999989</v>
      </c>
      <c r="M75" s="4">
        <f t="shared" ref="M75:M108" si="151">K75/(1-O75)</f>
        <v>8.2285714285714278</v>
      </c>
      <c r="N75" s="386">
        <f t="shared" si="100"/>
        <v>0.96250000000000002</v>
      </c>
      <c r="O75" s="386">
        <f t="shared" si="101"/>
        <v>3.7499999999999943E-2</v>
      </c>
      <c r="P75" s="4">
        <f t="shared" si="102"/>
        <v>0</v>
      </c>
      <c r="Q75" s="4">
        <f t="shared" si="103"/>
        <v>8.2285714285714278</v>
      </c>
      <c r="R75" s="386">
        <f t="shared" si="138"/>
        <v>0.23101853815219328</v>
      </c>
      <c r="S75" s="386">
        <f t="shared" si="139"/>
        <v>0</v>
      </c>
      <c r="T75" s="386">
        <f t="shared" si="140"/>
        <v>0.23101853815219328</v>
      </c>
      <c r="U75" s="4">
        <f t="shared" si="104"/>
        <v>1.56329322722441</v>
      </c>
      <c r="V75" s="386">
        <f t="shared" si="141"/>
        <v>4.8877714285714222E-3</v>
      </c>
      <c r="W75" s="386">
        <f t="shared" si="142"/>
        <v>4.8877714285714222E-3</v>
      </c>
      <c r="X75" s="4">
        <f t="shared" si="105"/>
        <v>0</v>
      </c>
      <c r="Y75" s="386">
        <f t="shared" si="143"/>
        <v>0</v>
      </c>
      <c r="Z75" s="603">
        <f t="shared" si="144"/>
        <v>0</v>
      </c>
      <c r="AA75" s="386">
        <f t="shared" si="106"/>
        <v>8.0728115123719881</v>
      </c>
      <c r="AB75" s="386">
        <f t="shared" si="107"/>
        <v>0.37147062857142854</v>
      </c>
      <c r="AC75" s="386">
        <f t="shared" si="108"/>
        <v>4.0657499999999992E-2</v>
      </c>
      <c r="AD75" s="386">
        <f t="shared" si="109"/>
        <v>0</v>
      </c>
      <c r="AE75" s="386">
        <f t="shared" si="110"/>
        <v>0.44520418420098234</v>
      </c>
      <c r="AF75" s="386">
        <f t="shared" si="111"/>
        <v>1.5934560052967652</v>
      </c>
      <c r="AG75" s="386">
        <f t="shared" si="112"/>
        <v>1.4472881632653051E-2</v>
      </c>
      <c r="AH75" s="386">
        <f t="shared" si="113"/>
        <v>7.9200000000000007E-2</v>
      </c>
      <c r="AI75" s="386">
        <f t="shared" si="114"/>
        <v>9.3944812061647065E-2</v>
      </c>
      <c r="AJ75" s="386">
        <f t="shared" si="115"/>
        <v>1.5934560052967643</v>
      </c>
      <c r="AK75" s="386">
        <f t="shared" si="116"/>
        <v>4.8242938775510122E-3</v>
      </c>
      <c r="AL75" s="386">
        <f t="shared" si="117"/>
        <v>5.7488094717986812E-2</v>
      </c>
      <c r="AM75" s="386">
        <f t="shared" si="118"/>
        <v>0</v>
      </c>
      <c r="AN75" s="386">
        <f t="shared" si="119"/>
        <v>6.2372569316393865E-2</v>
      </c>
      <c r="AO75" s="386">
        <f t="shared" si="145"/>
        <v>8.0728115123719881</v>
      </c>
      <c r="AP75" s="386">
        <f t="shared" si="120"/>
        <v>0.12382354285714285</v>
      </c>
      <c r="AQ75" s="386">
        <f t="shared" si="121"/>
        <v>8.7999999999999995E-2</v>
      </c>
      <c r="AR75" s="386">
        <f t="shared" si="122"/>
        <v>0.21720249945718589</v>
      </c>
      <c r="AS75" s="386">
        <f t="shared" si="123"/>
        <v>0</v>
      </c>
      <c r="AT75" s="386">
        <f t="shared" si="124"/>
        <v>0</v>
      </c>
      <c r="AU75" s="386">
        <f t="shared" si="125"/>
        <v>0.11163536405999999</v>
      </c>
      <c r="AV75" s="386">
        <f t="shared" si="126"/>
        <v>2.0312816326530588E-2</v>
      </c>
      <c r="AW75" s="386">
        <f t="shared" si="127"/>
        <v>0.59328000000000003</v>
      </c>
      <c r="AX75" s="386">
        <f t="shared" si="128"/>
        <v>3.6000000000000004E-2</v>
      </c>
      <c r="AY75" s="386">
        <f t="shared" si="129"/>
        <v>9.8999999999999977E-2</v>
      </c>
      <c r="AZ75" s="386">
        <f t="shared" si="130"/>
        <v>4.3499999999999997E-2</v>
      </c>
      <c r="BA75" s="386">
        <f t="shared" ref="BA75:BA109" si="152">SUM(AX75:AY75)</f>
        <v>0.13499999999999998</v>
      </c>
      <c r="BB75" s="386">
        <f t="shared" ref="BB75:BB109" si="153">SUM(T75,W75,Z75,AE75,AI75,AN75,AR75, AT75,AU75,BA75,AV75,AW75)</f>
        <v>1.9148585550035044</v>
      </c>
      <c r="BC75">
        <f t="shared" si="131"/>
        <v>95.039999999999992</v>
      </c>
      <c r="BD75" s="604">
        <f t="shared" si="146"/>
        <v>0.98024999898362819</v>
      </c>
      <c r="BE75" s="614">
        <f t="shared" si="132"/>
        <v>6.8025954797996935</v>
      </c>
      <c r="BF75" s="614">
        <f t="shared" si="133"/>
        <v>12.702108479849294</v>
      </c>
      <c r="BG75" s="9"/>
      <c r="BH75" s="4">
        <f t="shared" si="147"/>
        <v>98.024999898362822</v>
      </c>
      <c r="BI75" s="386">
        <f t="shared" si="148"/>
        <v>0.23101853815219328</v>
      </c>
      <c r="BJ75" s="386">
        <f t="shared" si="149"/>
        <v>0.93035942909620928</v>
      </c>
      <c r="BK75" s="386">
        <f t="shared" si="134"/>
        <v>0.13605190959599386</v>
      </c>
      <c r="BL75" s="386">
        <f t="shared" si="135"/>
        <v>0.25404216959698589</v>
      </c>
      <c r="BM75" s="386">
        <f t="shared" si="150"/>
        <v>2.0312816326530588E-2</v>
      </c>
      <c r="BS75" s="18"/>
      <c r="BT75" s="19"/>
    </row>
    <row r="76" spans="1:72" x14ac:dyDescent="0.2">
      <c r="A76" s="34" t="s">
        <v>123</v>
      </c>
      <c r="B76" s="79">
        <f>B75*B62</f>
        <v>4.05</v>
      </c>
      <c r="C76" s="482" t="s">
        <v>673</v>
      </c>
      <c r="G76">
        <v>67</v>
      </c>
      <c r="H76" s="610">
        <f t="shared" si="97"/>
        <v>12</v>
      </c>
      <c r="I76" s="4" t="str">
        <f t="shared" si="98"/>
        <v>BUCK-BST</v>
      </c>
      <c r="J76">
        <f t="shared" si="136"/>
        <v>3</v>
      </c>
      <c r="K76" s="386">
        <f t="shared" si="137"/>
        <v>8.0399999999999991</v>
      </c>
      <c r="L76" s="4">
        <f t="shared" si="99"/>
        <v>8.9333333333333318</v>
      </c>
      <c r="M76" s="4">
        <f t="shared" si="151"/>
        <v>8.3532467532467525</v>
      </c>
      <c r="N76" s="386">
        <f t="shared" si="100"/>
        <v>0.96250000000000002</v>
      </c>
      <c r="O76" s="386">
        <f t="shared" si="101"/>
        <v>3.7499999999999943E-2</v>
      </c>
      <c r="P76" s="4">
        <f t="shared" si="102"/>
        <v>0</v>
      </c>
      <c r="Q76" s="4">
        <f t="shared" si="103"/>
        <v>8.3532467532467525</v>
      </c>
      <c r="R76" s="386">
        <f t="shared" si="138"/>
        <v>0.23820655150161002</v>
      </c>
      <c r="S76" s="386">
        <f t="shared" si="139"/>
        <v>0</v>
      </c>
      <c r="T76" s="386">
        <f t="shared" si="140"/>
        <v>0.23820655150161002</v>
      </c>
      <c r="U76" s="4">
        <f t="shared" si="104"/>
        <v>1.5869794882429613</v>
      </c>
      <c r="V76" s="386">
        <f t="shared" si="141"/>
        <v>5.0370077922077833E-3</v>
      </c>
      <c r="W76" s="386">
        <f t="shared" si="142"/>
        <v>5.0370077922077833E-3</v>
      </c>
      <c r="X76" s="4">
        <f t="shared" si="105"/>
        <v>0</v>
      </c>
      <c r="Y76" s="386">
        <f t="shared" si="143"/>
        <v>0</v>
      </c>
      <c r="Z76" s="603">
        <f t="shared" si="144"/>
        <v>0</v>
      </c>
      <c r="AA76" s="386">
        <f t="shared" si="106"/>
        <v>8.1951268383170177</v>
      </c>
      <c r="AB76" s="386">
        <f t="shared" si="107"/>
        <v>0.38281259220779212</v>
      </c>
      <c r="AC76" s="386">
        <f t="shared" si="108"/>
        <v>4.1273522727272714E-2</v>
      </c>
      <c r="AD76" s="386">
        <f t="shared" si="109"/>
        <v>0</v>
      </c>
      <c r="AE76" s="386">
        <f t="shared" si="110"/>
        <v>0.45924724023477453</v>
      </c>
      <c r="AF76" s="386">
        <f t="shared" si="111"/>
        <v>1.617599278104292</v>
      </c>
      <c r="AG76" s="386">
        <f t="shared" si="112"/>
        <v>1.4914776319784103E-2</v>
      </c>
      <c r="AH76" s="386">
        <f t="shared" si="113"/>
        <v>8.0399999999999999E-2</v>
      </c>
      <c r="AI76" s="386">
        <f t="shared" si="114"/>
        <v>9.5599946683979073E-2</v>
      </c>
      <c r="AJ76" s="386">
        <f t="shared" si="115"/>
        <v>1.6175992781042912</v>
      </c>
      <c r="AK76" s="386">
        <f t="shared" si="116"/>
        <v>4.9715921065946952E-3</v>
      </c>
      <c r="AL76" s="386">
        <f t="shared" si="117"/>
        <v>5.7488094717986812E-2</v>
      </c>
      <c r="AM76" s="386">
        <f t="shared" si="118"/>
        <v>0</v>
      </c>
      <c r="AN76" s="386">
        <f t="shared" si="119"/>
        <v>6.2521853455207027E-2</v>
      </c>
      <c r="AO76" s="386">
        <f t="shared" si="145"/>
        <v>8.1951268383170177</v>
      </c>
      <c r="AP76" s="386">
        <f t="shared" si="120"/>
        <v>0.12760419740259737</v>
      </c>
      <c r="AQ76" s="386">
        <f t="shared" si="121"/>
        <v>8.933333333333332E-2</v>
      </c>
      <c r="AR76" s="386">
        <f t="shared" si="122"/>
        <v>0.22261895330864181</v>
      </c>
      <c r="AS76" s="386">
        <f t="shared" si="123"/>
        <v>0</v>
      </c>
      <c r="AT76" s="386">
        <f t="shared" si="124"/>
        <v>0</v>
      </c>
      <c r="AU76" s="386">
        <f t="shared" si="125"/>
        <v>0.11257320001499999</v>
      </c>
      <c r="AV76" s="386">
        <f t="shared" si="126"/>
        <v>2.0933019396188201E-2</v>
      </c>
      <c r="AW76" s="386">
        <f t="shared" si="127"/>
        <v>0.59328000000000003</v>
      </c>
      <c r="AX76" s="386">
        <f t="shared" si="128"/>
        <v>3.6000000000000004E-2</v>
      </c>
      <c r="AY76" s="386">
        <f t="shared" si="129"/>
        <v>9.8999999999999977E-2</v>
      </c>
      <c r="AZ76" s="386">
        <f t="shared" si="130"/>
        <v>4.3499999999999997E-2</v>
      </c>
      <c r="BA76" s="386">
        <f t="shared" si="152"/>
        <v>0.13499999999999998</v>
      </c>
      <c r="BB76" s="386">
        <f t="shared" si="153"/>
        <v>1.9450177723876085</v>
      </c>
      <c r="BC76">
        <f t="shared" si="131"/>
        <v>96.47999999999999</v>
      </c>
      <c r="BD76" s="604">
        <f t="shared" si="146"/>
        <v>0.98023858347797754</v>
      </c>
      <c r="BE76" s="614">
        <f t="shared" si="132"/>
        <v>6.8410082732553503</v>
      </c>
      <c r="BF76" s="614">
        <f t="shared" si="133"/>
        <v>12.988405465679589</v>
      </c>
      <c r="BG76" s="9"/>
      <c r="BH76" s="4">
        <f t="shared" si="147"/>
        <v>98.023858347797756</v>
      </c>
      <c r="BI76" s="386">
        <f t="shared" si="148"/>
        <v>0.23820655150161002</v>
      </c>
      <c r="BJ76" s="386">
        <f t="shared" si="149"/>
        <v>0.95256119369760239</v>
      </c>
      <c r="BK76" s="386">
        <f t="shared" si="134"/>
        <v>0.136820165465107</v>
      </c>
      <c r="BL76" s="386">
        <f t="shared" si="135"/>
        <v>0.25976810931359179</v>
      </c>
      <c r="BM76" s="386">
        <f t="shared" si="150"/>
        <v>2.0933019396188201E-2</v>
      </c>
      <c r="BS76" s="18"/>
      <c r="BT76" s="19"/>
    </row>
    <row r="77" spans="1:72" x14ac:dyDescent="0.2">
      <c r="A77" s="34" t="s">
        <v>246</v>
      </c>
      <c r="B77" s="79">
        <f>(Qg_Q1+Qg_Q2)*Fsw+Iq</f>
        <v>8.5000000000000006E-3</v>
      </c>
      <c r="C77" s="21" t="s">
        <v>2</v>
      </c>
      <c r="G77">
        <v>68</v>
      </c>
      <c r="H77" s="610">
        <f t="shared" si="97"/>
        <v>12</v>
      </c>
      <c r="I77" s="4" t="str">
        <f t="shared" si="98"/>
        <v>BUCK-BST</v>
      </c>
      <c r="J77">
        <f t="shared" si="136"/>
        <v>3</v>
      </c>
      <c r="K77" s="386">
        <f t="shared" si="137"/>
        <v>8.16</v>
      </c>
      <c r="L77" s="4">
        <f t="shared" si="99"/>
        <v>9.0666666666666664</v>
      </c>
      <c r="M77" s="4">
        <f t="shared" si="151"/>
        <v>8.4779220779220772</v>
      </c>
      <c r="N77" s="386">
        <f t="shared" si="100"/>
        <v>0.96250000000000002</v>
      </c>
      <c r="O77" s="386">
        <f t="shared" si="101"/>
        <v>3.7499999999999943E-2</v>
      </c>
      <c r="P77" s="4">
        <f t="shared" si="102"/>
        <v>0</v>
      </c>
      <c r="Q77" s="4">
        <f t="shared" si="103"/>
        <v>8.4779220779220772</v>
      </c>
      <c r="R77" s="386">
        <f t="shared" si="138"/>
        <v>0.2455109608358832</v>
      </c>
      <c r="S77" s="386">
        <f t="shared" si="139"/>
        <v>0</v>
      </c>
      <c r="T77" s="386">
        <f t="shared" si="140"/>
        <v>0.2455109608358832</v>
      </c>
      <c r="U77" s="4">
        <f t="shared" si="104"/>
        <v>1.6106657492615133</v>
      </c>
      <c r="V77" s="386">
        <f t="shared" si="141"/>
        <v>5.1884883116883043E-3</v>
      </c>
      <c r="W77" s="386">
        <f t="shared" si="142"/>
        <v>5.1884883116883043E-3</v>
      </c>
      <c r="X77" s="4">
        <f t="shared" si="105"/>
        <v>0</v>
      </c>
      <c r="Y77" s="386">
        <f t="shared" si="143"/>
        <v>0</v>
      </c>
      <c r="Z77" s="603">
        <f t="shared" si="144"/>
        <v>0</v>
      </c>
      <c r="AA77" s="386">
        <f t="shared" si="106"/>
        <v>8.3174421642620491</v>
      </c>
      <c r="AB77" s="386">
        <f t="shared" si="107"/>
        <v>0.39432511168831175</v>
      </c>
      <c r="AC77" s="386">
        <f t="shared" si="108"/>
        <v>4.188954545454545E-2</v>
      </c>
      <c r="AD77" s="386">
        <f t="shared" si="109"/>
        <v>0</v>
      </c>
      <c r="AE77" s="386">
        <f t="shared" si="110"/>
        <v>0.47356214639670463</v>
      </c>
      <c r="AF77" s="386">
        <f t="shared" si="111"/>
        <v>1.6417425509118189</v>
      </c>
      <c r="AG77" s="386">
        <f t="shared" si="112"/>
        <v>1.5363316039804344E-2</v>
      </c>
      <c r="AH77" s="386">
        <f t="shared" si="113"/>
        <v>8.1600000000000006E-2</v>
      </c>
      <c r="AI77" s="386">
        <f t="shared" si="114"/>
        <v>9.7262169930877385E-2</v>
      </c>
      <c r="AJ77" s="386">
        <f t="shared" si="115"/>
        <v>1.6417425509118178</v>
      </c>
      <c r="AK77" s="386">
        <f t="shared" si="116"/>
        <v>5.1211053466014402E-3</v>
      </c>
      <c r="AL77" s="386">
        <f t="shared" si="117"/>
        <v>5.7488094717986812E-2</v>
      </c>
      <c r="AM77" s="386">
        <f t="shared" si="118"/>
        <v>0</v>
      </c>
      <c r="AN77" s="386">
        <f t="shared" si="119"/>
        <v>6.2673391472620271E-2</v>
      </c>
      <c r="AO77" s="386">
        <f t="shared" si="145"/>
        <v>8.3174421642620491</v>
      </c>
      <c r="AP77" s="386">
        <f t="shared" si="120"/>
        <v>0.13144170389610391</v>
      </c>
      <c r="AQ77" s="386">
        <f t="shared" si="121"/>
        <v>9.0666666666666659E-2</v>
      </c>
      <c r="AR77" s="386">
        <f t="shared" si="122"/>
        <v>0.22810486909493782</v>
      </c>
      <c r="AS77" s="386">
        <f t="shared" si="123"/>
        <v>0</v>
      </c>
      <c r="AT77" s="386">
        <f t="shared" si="124"/>
        <v>0</v>
      </c>
      <c r="AU77" s="386">
        <f t="shared" si="125"/>
        <v>0.11351092823999999</v>
      </c>
      <c r="AV77" s="386">
        <f t="shared" si="126"/>
        <v>2.1562548827795552E-2</v>
      </c>
      <c r="AW77" s="386">
        <f t="shared" si="127"/>
        <v>0.59328000000000003</v>
      </c>
      <c r="AX77" s="386">
        <f t="shared" si="128"/>
        <v>3.6000000000000004E-2</v>
      </c>
      <c r="AY77" s="386">
        <f t="shared" si="129"/>
        <v>9.8999999999999977E-2</v>
      </c>
      <c r="AZ77" s="386">
        <f t="shared" si="130"/>
        <v>4.3499999999999997E-2</v>
      </c>
      <c r="BA77" s="386">
        <f t="shared" si="152"/>
        <v>0.13499999999999998</v>
      </c>
      <c r="BB77" s="386">
        <f t="shared" si="153"/>
        <v>1.9756555031105072</v>
      </c>
      <c r="BC77">
        <f t="shared" si="131"/>
        <v>97.92</v>
      </c>
      <c r="BD77" s="604">
        <f t="shared" si="146"/>
        <v>0.98022280855798594</v>
      </c>
      <c r="BE77" s="614">
        <f t="shared" si="132"/>
        <v>6.8795302055510126</v>
      </c>
      <c r="BF77" s="614">
        <f t="shared" si="133"/>
        <v>13.278173770706891</v>
      </c>
      <c r="BG77" s="9"/>
      <c r="BH77" s="4">
        <f t="shared" si="147"/>
        <v>98.022280855798599</v>
      </c>
      <c r="BI77" s="386">
        <f t="shared" si="148"/>
        <v>0.2455109608358832</v>
      </c>
      <c r="BJ77" s="386">
        <f t="shared" si="149"/>
        <v>0.97511350513514006</v>
      </c>
      <c r="BK77" s="386">
        <f t="shared" si="134"/>
        <v>0.13759060411102025</v>
      </c>
      <c r="BL77" s="386">
        <f t="shared" si="135"/>
        <v>0.26556347541413783</v>
      </c>
      <c r="BM77" s="386">
        <f t="shared" si="150"/>
        <v>2.1562548827795552E-2</v>
      </c>
      <c r="BS77" s="18"/>
      <c r="BT77" s="19"/>
    </row>
    <row r="78" spans="1:72" x14ac:dyDescent="0.2">
      <c r="A78" s="34" t="s">
        <v>247</v>
      </c>
      <c r="B78" s="78">
        <f>Qrr_Q2*Fsw</f>
        <v>1.575E-2</v>
      </c>
      <c r="C78" s="21" t="s">
        <v>2</v>
      </c>
      <c r="G78">
        <v>69</v>
      </c>
      <c r="H78" s="610">
        <f t="shared" si="97"/>
        <v>12</v>
      </c>
      <c r="I78" s="4" t="str">
        <f t="shared" si="98"/>
        <v>BUCK-BST</v>
      </c>
      <c r="J78">
        <f t="shared" si="136"/>
        <v>3</v>
      </c>
      <c r="K78" s="386">
        <f t="shared" si="137"/>
        <v>8.2799999999999994</v>
      </c>
      <c r="L78" s="4">
        <f t="shared" si="99"/>
        <v>9.1999999999999975</v>
      </c>
      <c r="M78" s="4">
        <f t="shared" si="151"/>
        <v>8.6025974025974019</v>
      </c>
      <c r="N78" s="386">
        <f t="shared" si="100"/>
        <v>0.96250000000000002</v>
      </c>
      <c r="O78" s="386">
        <f t="shared" si="101"/>
        <v>3.7499999999999943E-2</v>
      </c>
      <c r="P78" s="4">
        <f t="shared" si="102"/>
        <v>0</v>
      </c>
      <c r="Q78" s="4">
        <f t="shared" si="103"/>
        <v>8.6025974025974019</v>
      </c>
      <c r="R78" s="386">
        <f t="shared" si="138"/>
        <v>0.25293215277019632</v>
      </c>
      <c r="S78" s="386">
        <f t="shared" si="139"/>
        <v>0</v>
      </c>
      <c r="T78" s="386">
        <f t="shared" si="140"/>
        <v>0.25293215277019632</v>
      </c>
      <c r="U78" s="4">
        <f t="shared" si="104"/>
        <v>1.6343520102800648</v>
      </c>
      <c r="V78" s="386">
        <f t="shared" si="141"/>
        <v>5.3422129870129781E-3</v>
      </c>
      <c r="W78" s="386">
        <f t="shared" si="142"/>
        <v>5.3422129870129781E-3</v>
      </c>
      <c r="X78" s="4">
        <f t="shared" si="105"/>
        <v>0</v>
      </c>
      <c r="Y78" s="386">
        <f t="shared" si="143"/>
        <v>0</v>
      </c>
      <c r="Z78" s="603">
        <f t="shared" si="144"/>
        <v>0</v>
      </c>
      <c r="AA78" s="386">
        <f t="shared" si="106"/>
        <v>8.4397574902070787</v>
      </c>
      <c r="AB78" s="386">
        <f t="shared" si="107"/>
        <v>0.40600818701298702</v>
      </c>
      <c r="AC78" s="386">
        <f t="shared" si="108"/>
        <v>4.2505568181818172E-2</v>
      </c>
      <c r="AD78" s="386">
        <f t="shared" si="109"/>
        <v>0</v>
      </c>
      <c r="AE78" s="386">
        <f t="shared" si="110"/>
        <v>0.48815254081088755</v>
      </c>
      <c r="AF78" s="386">
        <f t="shared" si="111"/>
        <v>1.6658858237193455</v>
      </c>
      <c r="AG78" s="386">
        <f t="shared" si="112"/>
        <v>1.5818500792713769E-2</v>
      </c>
      <c r="AH78" s="386">
        <f t="shared" si="113"/>
        <v>8.2799999999999999E-2</v>
      </c>
      <c r="AI78" s="386">
        <f t="shared" si="114"/>
        <v>9.8931490364464691E-2</v>
      </c>
      <c r="AJ78" s="386">
        <f t="shared" si="115"/>
        <v>1.6658858237193446</v>
      </c>
      <c r="AK78" s="386">
        <f t="shared" si="116"/>
        <v>5.2728335975712505E-3</v>
      </c>
      <c r="AL78" s="386">
        <f t="shared" si="117"/>
        <v>5.7488094717986812E-2</v>
      </c>
      <c r="AM78" s="386">
        <f t="shared" si="118"/>
        <v>0</v>
      </c>
      <c r="AN78" s="386">
        <f t="shared" si="119"/>
        <v>6.2827183772645498E-2</v>
      </c>
      <c r="AO78" s="386">
        <f t="shared" si="145"/>
        <v>8.4397574902070787</v>
      </c>
      <c r="AP78" s="386">
        <f t="shared" si="120"/>
        <v>0.13533606233766232</v>
      </c>
      <c r="AQ78" s="386">
        <f t="shared" si="121"/>
        <v>9.1999999999999971E-2</v>
      </c>
      <c r="AR78" s="386">
        <f t="shared" si="122"/>
        <v>0.23366060353894272</v>
      </c>
      <c r="AS78" s="386">
        <f t="shared" si="123"/>
        <v>0</v>
      </c>
      <c r="AT78" s="386">
        <f t="shared" si="124"/>
        <v>0</v>
      </c>
      <c r="AU78" s="386">
        <f t="shared" si="125"/>
        <v>0.11444854873499999</v>
      </c>
      <c r="AV78" s="386">
        <f t="shared" si="126"/>
        <v>2.2201404621352644E-2</v>
      </c>
      <c r="AW78" s="386">
        <f t="shared" si="127"/>
        <v>0.59328000000000003</v>
      </c>
      <c r="AX78" s="386">
        <f t="shared" si="128"/>
        <v>3.6000000000000004E-2</v>
      </c>
      <c r="AY78" s="386">
        <f t="shared" si="129"/>
        <v>9.8999999999999977E-2</v>
      </c>
      <c r="AZ78" s="386">
        <f t="shared" si="130"/>
        <v>4.3499999999999997E-2</v>
      </c>
      <c r="BA78" s="386">
        <f t="shared" si="152"/>
        <v>0.13499999999999998</v>
      </c>
      <c r="BB78" s="386">
        <f t="shared" si="153"/>
        <v>2.0067761376005024</v>
      </c>
      <c r="BC78">
        <f t="shared" si="131"/>
        <v>99.359999999999985</v>
      </c>
      <c r="BD78" s="604">
        <f t="shared" si="146"/>
        <v>0.98020282173247386</v>
      </c>
      <c r="BE78" s="614">
        <f t="shared" si="132"/>
        <v>6.9181612968872752</v>
      </c>
      <c r="BF78" s="614">
        <f t="shared" si="133"/>
        <v>13.571431231074635</v>
      </c>
      <c r="BG78" s="9"/>
      <c r="BH78" s="4">
        <f t="shared" si="147"/>
        <v>98.020282173247381</v>
      </c>
      <c r="BI78" s="386">
        <f t="shared" si="148"/>
        <v>0.25293215277019632</v>
      </c>
      <c r="BJ78" s="386">
        <f t="shared" si="149"/>
        <v>0.99802036722194043</v>
      </c>
      <c r="BK78" s="386">
        <f t="shared" si="134"/>
        <v>0.1383632259377455</v>
      </c>
      <c r="BL78" s="386">
        <f t="shared" si="135"/>
        <v>0.2714286246214927</v>
      </c>
      <c r="BM78" s="386">
        <f t="shared" si="150"/>
        <v>2.2201404621352644E-2</v>
      </c>
      <c r="BS78" s="18"/>
      <c r="BT78" s="19"/>
    </row>
    <row r="79" spans="1:72" x14ac:dyDescent="0.2">
      <c r="A79" s="34" t="s">
        <v>248</v>
      </c>
      <c r="B79" s="78" t="e">
        <f>C79/Vin</f>
        <v>#NAME?</v>
      </c>
      <c r="C79" s="21" t="e">
        <f>Deadtime*Fsw*(Iripple_Vinnom/2)*(VsdTop+VsdBot)</f>
        <v>#NAME?</v>
      </c>
      <c r="G79">
        <v>70</v>
      </c>
      <c r="H79" s="610">
        <f t="shared" si="97"/>
        <v>12</v>
      </c>
      <c r="I79" s="4" t="str">
        <f t="shared" si="98"/>
        <v>BUCK-BST</v>
      </c>
      <c r="J79">
        <f t="shared" si="136"/>
        <v>3</v>
      </c>
      <c r="K79" s="386">
        <f t="shared" si="137"/>
        <v>8.4</v>
      </c>
      <c r="L79" s="4">
        <f t="shared" si="99"/>
        <v>9.3333333333333339</v>
      </c>
      <c r="M79" s="4">
        <f t="shared" si="151"/>
        <v>8.7272727272727266</v>
      </c>
      <c r="N79" s="386">
        <f t="shared" si="100"/>
        <v>0.96250000000000002</v>
      </c>
      <c r="O79" s="386">
        <f t="shared" si="101"/>
        <v>3.7499999999999943E-2</v>
      </c>
      <c r="P79" s="4">
        <f t="shared" si="102"/>
        <v>0</v>
      </c>
      <c r="Q79" s="4">
        <f t="shared" si="103"/>
        <v>8.7272727272727266</v>
      </c>
      <c r="R79" s="386">
        <f t="shared" si="138"/>
        <v>0.2604705207736579</v>
      </c>
      <c r="S79" s="386">
        <f t="shared" si="139"/>
        <v>0</v>
      </c>
      <c r="T79" s="386">
        <f t="shared" si="140"/>
        <v>0.2604705207736579</v>
      </c>
      <c r="U79" s="4">
        <f t="shared" si="104"/>
        <v>1.6580382712986166</v>
      </c>
      <c r="V79" s="386">
        <f t="shared" si="141"/>
        <v>5.4981818181818101E-3</v>
      </c>
      <c r="W79" s="386">
        <f t="shared" si="142"/>
        <v>5.4981818181818101E-3</v>
      </c>
      <c r="X79" s="4">
        <f t="shared" si="105"/>
        <v>0</v>
      </c>
      <c r="Y79" s="386">
        <f t="shared" si="143"/>
        <v>0</v>
      </c>
      <c r="Z79" s="603">
        <f t="shared" si="144"/>
        <v>0</v>
      </c>
      <c r="AA79" s="386">
        <f t="shared" si="106"/>
        <v>8.5620728161521082</v>
      </c>
      <c r="AB79" s="386">
        <f t="shared" si="107"/>
        <v>0.41786181818181811</v>
      </c>
      <c r="AC79" s="386">
        <f t="shared" si="108"/>
        <v>4.3121590909090915E-2</v>
      </c>
      <c r="AD79" s="386">
        <f t="shared" si="109"/>
        <v>0</v>
      </c>
      <c r="AE79" s="386">
        <f t="shared" si="110"/>
        <v>0.50302215996025668</v>
      </c>
      <c r="AF79" s="386">
        <f t="shared" si="111"/>
        <v>1.6900290965268723</v>
      </c>
      <c r="AG79" s="386">
        <f t="shared" si="112"/>
        <v>1.6280330578512386E-2</v>
      </c>
      <c r="AH79" s="386">
        <f t="shared" si="113"/>
        <v>8.4000000000000005E-2</v>
      </c>
      <c r="AI79" s="386">
        <f t="shared" si="114"/>
        <v>0.10060791660674705</v>
      </c>
      <c r="AJ79" s="386">
        <f t="shared" si="115"/>
        <v>1.6900290965268714</v>
      </c>
      <c r="AK79" s="386">
        <f t="shared" si="116"/>
        <v>5.4267768595041227E-3</v>
      </c>
      <c r="AL79" s="386">
        <f t="shared" si="117"/>
        <v>5.7488094717986812E-2</v>
      </c>
      <c r="AM79" s="386">
        <f t="shared" si="118"/>
        <v>0</v>
      </c>
      <c r="AN79" s="386">
        <f t="shared" si="119"/>
        <v>6.2983230765341777E-2</v>
      </c>
      <c r="AO79" s="386">
        <f t="shared" si="145"/>
        <v>8.5620728161521082</v>
      </c>
      <c r="AP79" s="386">
        <f t="shared" si="120"/>
        <v>0.1392872727272727</v>
      </c>
      <c r="AQ79" s="386">
        <f t="shared" si="121"/>
        <v>9.3333333333333338E-2</v>
      </c>
      <c r="AR79" s="386">
        <f t="shared" si="122"/>
        <v>0.23928651939807802</v>
      </c>
      <c r="AS79" s="386">
        <f t="shared" si="123"/>
        <v>0</v>
      </c>
      <c r="AT79" s="386">
        <f t="shared" si="124"/>
        <v>0</v>
      </c>
      <c r="AU79" s="386">
        <f t="shared" si="125"/>
        <v>0.1153860615</v>
      </c>
      <c r="AV79" s="386">
        <f t="shared" si="126"/>
        <v>2.2849586776859474E-2</v>
      </c>
      <c r="AW79" s="386">
        <f t="shared" si="127"/>
        <v>0.59328000000000003</v>
      </c>
      <c r="AX79" s="386">
        <f t="shared" si="128"/>
        <v>3.6000000000000004E-2</v>
      </c>
      <c r="AY79" s="386">
        <f t="shared" si="129"/>
        <v>9.8999999999999977E-2</v>
      </c>
      <c r="AZ79" s="386">
        <f t="shared" si="130"/>
        <v>4.3499999999999997E-2</v>
      </c>
      <c r="BA79" s="386">
        <f t="shared" si="152"/>
        <v>0.13499999999999998</v>
      </c>
      <c r="BB79" s="386">
        <f t="shared" si="153"/>
        <v>2.0383841775991227</v>
      </c>
      <c r="BC79">
        <f t="shared" si="131"/>
        <v>100.80000000000001</v>
      </c>
      <c r="BD79" s="604">
        <f t="shared" si="146"/>
        <v>0.98017876113184654</v>
      </c>
      <c r="BE79" s="614">
        <f t="shared" si="132"/>
        <v>6.9569015677670887</v>
      </c>
      <c r="BF79" s="614">
        <f t="shared" si="133"/>
        <v>13.8681959846539</v>
      </c>
      <c r="BG79" s="9"/>
      <c r="BH79" s="4">
        <f t="shared" si="147"/>
        <v>98.017876113184656</v>
      </c>
      <c r="BI79" s="386">
        <f t="shared" si="148"/>
        <v>0.2604705207736579</v>
      </c>
      <c r="BJ79" s="386">
        <f t="shared" si="149"/>
        <v>1.0212858882304234</v>
      </c>
      <c r="BK79" s="386">
        <f t="shared" si="134"/>
        <v>0.13913803135534178</v>
      </c>
      <c r="BL79" s="386">
        <f t="shared" si="135"/>
        <v>0.277363919693078</v>
      </c>
      <c r="BM79" s="386">
        <f t="shared" si="150"/>
        <v>2.2849586776859474E-2</v>
      </c>
      <c r="BS79" s="18"/>
      <c r="BT79" s="19"/>
    </row>
    <row r="80" spans="1:72" x14ac:dyDescent="0.2">
      <c r="A80" s="34" t="s">
        <v>49</v>
      </c>
      <c r="B80" s="78" t="e">
        <f>SUM(B77:B79)</f>
        <v>#NAME?</v>
      </c>
      <c r="C80" s="21" t="s">
        <v>2</v>
      </c>
      <c r="G80">
        <v>71</v>
      </c>
      <c r="H80" s="610">
        <f t="shared" si="97"/>
        <v>12</v>
      </c>
      <c r="I80" s="4" t="str">
        <f t="shared" si="98"/>
        <v>BUCK-BST</v>
      </c>
      <c r="J80">
        <f t="shared" si="136"/>
        <v>3</v>
      </c>
      <c r="K80" s="386">
        <f t="shared" si="137"/>
        <v>8.52</v>
      </c>
      <c r="L80" s="4">
        <f t="shared" si="99"/>
        <v>9.466666666666665</v>
      </c>
      <c r="M80" s="4">
        <f t="shared" si="151"/>
        <v>8.8519480519480513</v>
      </c>
      <c r="N80" s="386">
        <f t="shared" si="100"/>
        <v>0.96250000000000002</v>
      </c>
      <c r="O80" s="386">
        <f t="shared" si="101"/>
        <v>3.7499999999999943E-2</v>
      </c>
      <c r="P80" s="4">
        <f t="shared" si="102"/>
        <v>0</v>
      </c>
      <c r="Q80" s="4">
        <f t="shared" si="103"/>
        <v>8.8519480519480513</v>
      </c>
      <c r="R80" s="386">
        <f t="shared" si="138"/>
        <v>0.26812646522276434</v>
      </c>
      <c r="S80" s="386">
        <f t="shared" si="139"/>
        <v>0</v>
      </c>
      <c r="T80" s="386">
        <f t="shared" si="140"/>
        <v>0.26812646522276434</v>
      </c>
      <c r="U80" s="4">
        <f t="shared" si="104"/>
        <v>1.6817245323171681</v>
      </c>
      <c r="V80" s="386">
        <f t="shared" si="141"/>
        <v>5.6563948051947957E-3</v>
      </c>
      <c r="W80" s="386">
        <f t="shared" si="142"/>
        <v>5.6563948051947957E-3</v>
      </c>
      <c r="X80" s="4">
        <f t="shared" si="105"/>
        <v>0</v>
      </c>
      <c r="Y80" s="386">
        <f t="shared" si="143"/>
        <v>0</v>
      </c>
      <c r="Z80" s="603">
        <f t="shared" si="144"/>
        <v>0</v>
      </c>
      <c r="AA80" s="386">
        <f t="shared" si="106"/>
        <v>8.6843881420971396</v>
      </c>
      <c r="AB80" s="386">
        <f t="shared" si="107"/>
        <v>0.4298860051948053</v>
      </c>
      <c r="AC80" s="386">
        <f t="shared" si="108"/>
        <v>4.373761363636363E-2</v>
      </c>
      <c r="AD80" s="386">
        <f t="shared" si="109"/>
        <v>0</v>
      </c>
      <c r="AE80" s="386">
        <f t="shared" si="110"/>
        <v>0.51817484133823832</v>
      </c>
      <c r="AF80" s="386">
        <f t="shared" si="111"/>
        <v>1.7141723693343991</v>
      </c>
      <c r="AG80" s="386">
        <f t="shared" si="112"/>
        <v>1.6748805397200191E-2</v>
      </c>
      <c r="AH80" s="386">
        <f t="shared" si="113"/>
        <v>8.5199999999999998E-2</v>
      </c>
      <c r="AI80" s="386">
        <f t="shared" si="114"/>
        <v>0.10229145733975611</v>
      </c>
      <c r="AJ80" s="386">
        <f t="shared" si="115"/>
        <v>1.714172369334398</v>
      </c>
      <c r="AK80" s="386">
        <f t="shared" si="116"/>
        <v>5.5829351324000569E-3</v>
      </c>
      <c r="AL80" s="386">
        <f t="shared" si="117"/>
        <v>5.7488094717986812E-2</v>
      </c>
      <c r="AM80" s="386">
        <f t="shared" si="118"/>
        <v>0</v>
      </c>
      <c r="AN80" s="386">
        <f t="shared" si="119"/>
        <v>6.314153286681802E-2</v>
      </c>
      <c r="AO80" s="386">
        <f t="shared" si="145"/>
        <v>8.6843881420971396</v>
      </c>
      <c r="AP80" s="386">
        <f t="shared" si="120"/>
        <v>0.14329533506493508</v>
      </c>
      <c r="AQ80" s="386">
        <f t="shared" si="121"/>
        <v>9.4666666666666649E-2</v>
      </c>
      <c r="AR80" s="386">
        <f t="shared" si="122"/>
        <v>0.24498298553097558</v>
      </c>
      <c r="AS80" s="386">
        <f t="shared" si="123"/>
        <v>0</v>
      </c>
      <c r="AT80" s="386">
        <f t="shared" si="124"/>
        <v>0</v>
      </c>
      <c r="AU80" s="386">
        <f t="shared" si="125"/>
        <v>0.11632346653499999</v>
      </c>
      <c r="AV80" s="386">
        <f t="shared" si="126"/>
        <v>2.3507095294316046E-2</v>
      </c>
      <c r="AW80" s="386">
        <f t="shared" si="127"/>
        <v>0.59328000000000003</v>
      </c>
      <c r="AX80" s="386">
        <f t="shared" si="128"/>
        <v>3.6000000000000004E-2</v>
      </c>
      <c r="AY80" s="386">
        <f t="shared" si="129"/>
        <v>9.8999999999999977E-2</v>
      </c>
      <c r="AZ80" s="386">
        <f t="shared" si="130"/>
        <v>4.3499999999999997E-2</v>
      </c>
      <c r="BA80" s="386">
        <f t="shared" si="152"/>
        <v>0.13499999999999998</v>
      </c>
      <c r="BB80" s="386">
        <f t="shared" si="153"/>
        <v>2.0704842389330631</v>
      </c>
      <c r="BC80">
        <f t="shared" si="131"/>
        <v>102.24</v>
      </c>
      <c r="BD80" s="604">
        <f t="shared" si="146"/>
        <v>0.98015075613885161</v>
      </c>
      <c r="BE80" s="614">
        <f t="shared" si="132"/>
        <v>6.995751038995901</v>
      </c>
      <c r="BF80" s="614">
        <f t="shared" si="133"/>
        <v>14.16848647437628</v>
      </c>
      <c r="BG80" s="9"/>
      <c r="BH80" s="4">
        <f t="shared" si="147"/>
        <v>98.015075613885159</v>
      </c>
      <c r="BI80" s="386">
        <f t="shared" si="148"/>
        <v>0.26812646522276434</v>
      </c>
      <c r="BJ80" s="386">
        <f t="shared" si="149"/>
        <v>1.0449142836107879</v>
      </c>
      <c r="BK80" s="386">
        <f t="shared" si="134"/>
        <v>0.13991502077991802</v>
      </c>
      <c r="BL80" s="386">
        <f t="shared" si="135"/>
        <v>0.28336972948752559</v>
      </c>
      <c r="BM80" s="386">
        <f t="shared" si="150"/>
        <v>2.3507095294316046E-2</v>
      </c>
      <c r="BS80" s="18"/>
      <c r="BT80" s="19"/>
    </row>
    <row r="81" spans="1:72" x14ac:dyDescent="0.2">
      <c r="A81" s="2"/>
      <c r="G81">
        <v>72</v>
      </c>
      <c r="H81" s="610">
        <f t="shared" si="97"/>
        <v>12</v>
      </c>
      <c r="I81" s="4" t="str">
        <f t="shared" si="98"/>
        <v>BUCK-BST</v>
      </c>
      <c r="J81">
        <f t="shared" si="136"/>
        <v>3</v>
      </c>
      <c r="K81" s="386">
        <f t="shared" si="137"/>
        <v>8.64</v>
      </c>
      <c r="L81" s="4">
        <f t="shared" si="99"/>
        <v>9.6</v>
      </c>
      <c r="M81" s="4">
        <f t="shared" si="151"/>
        <v>8.9766233766233778</v>
      </c>
      <c r="N81" s="386">
        <f t="shared" si="100"/>
        <v>0.96250000000000002</v>
      </c>
      <c r="O81" s="386">
        <f t="shared" si="101"/>
        <v>3.7499999999999943E-2</v>
      </c>
      <c r="P81" s="4">
        <f t="shared" si="102"/>
        <v>0</v>
      </c>
      <c r="Q81" s="4">
        <f t="shared" si="103"/>
        <v>8.9766233766233778</v>
      </c>
      <c r="R81" s="386">
        <f t="shared" si="138"/>
        <v>0.27590039345593359</v>
      </c>
      <c r="S81" s="386">
        <f t="shared" si="139"/>
        <v>0</v>
      </c>
      <c r="T81" s="386">
        <f t="shared" si="140"/>
        <v>0.27590039345593359</v>
      </c>
      <c r="U81" s="4">
        <f t="shared" si="104"/>
        <v>1.7054107933357201</v>
      </c>
      <c r="V81" s="386">
        <f t="shared" si="141"/>
        <v>5.8168519480519413E-3</v>
      </c>
      <c r="W81" s="386">
        <f t="shared" si="142"/>
        <v>5.8168519480519413E-3</v>
      </c>
      <c r="X81" s="4">
        <f t="shared" si="105"/>
        <v>0</v>
      </c>
      <c r="Y81" s="386">
        <f t="shared" si="143"/>
        <v>0</v>
      </c>
      <c r="Z81" s="603">
        <f t="shared" si="144"/>
        <v>0</v>
      </c>
      <c r="AA81" s="386">
        <f t="shared" si="106"/>
        <v>8.806703468042171</v>
      </c>
      <c r="AB81" s="386">
        <f t="shared" si="107"/>
        <v>0.44208074805194819</v>
      </c>
      <c r="AC81" s="386">
        <f t="shared" si="108"/>
        <v>4.4353636363636359E-2</v>
      </c>
      <c r="AD81" s="386">
        <f t="shared" si="109"/>
        <v>0</v>
      </c>
      <c r="AE81" s="386">
        <f t="shared" si="110"/>
        <v>0.53361452619820204</v>
      </c>
      <c r="AF81" s="386">
        <f t="shared" si="111"/>
        <v>1.7383156421419261</v>
      </c>
      <c r="AG81" s="386">
        <f t="shared" si="112"/>
        <v>1.7223925248777194E-2</v>
      </c>
      <c r="AH81" s="386">
        <f t="shared" si="113"/>
        <v>8.6400000000000005E-2</v>
      </c>
      <c r="AI81" s="386">
        <f t="shared" si="114"/>
        <v>0.1039821213056929</v>
      </c>
      <c r="AJ81" s="386">
        <f t="shared" si="115"/>
        <v>1.7383156421419252</v>
      </c>
      <c r="AK81" s="386">
        <f t="shared" si="116"/>
        <v>5.7413084162590581E-3</v>
      </c>
      <c r="AL81" s="386">
        <f t="shared" si="117"/>
        <v>5.7488094717986812E-2</v>
      </c>
      <c r="AM81" s="386">
        <f t="shared" si="118"/>
        <v>0</v>
      </c>
      <c r="AN81" s="386">
        <f t="shared" si="119"/>
        <v>6.330209049923588E-2</v>
      </c>
      <c r="AO81" s="386">
        <f t="shared" si="145"/>
        <v>8.806703468042171</v>
      </c>
      <c r="AP81" s="386">
        <f t="shared" si="120"/>
        <v>0.1473602493506494</v>
      </c>
      <c r="AQ81" s="386">
        <f t="shared" si="121"/>
        <v>9.6000000000000002E-2</v>
      </c>
      <c r="AR81" s="386">
        <f t="shared" si="122"/>
        <v>0.25075037696553137</v>
      </c>
      <c r="AS81" s="386">
        <f t="shared" si="123"/>
        <v>0</v>
      </c>
      <c r="AT81" s="386">
        <f t="shared" si="124"/>
        <v>0</v>
      </c>
      <c r="AU81" s="386">
        <f t="shared" si="125"/>
        <v>0.11726076383999998</v>
      </c>
      <c r="AV81" s="386">
        <f t="shared" si="126"/>
        <v>2.4173930173722363E-2</v>
      </c>
      <c r="AW81" s="386">
        <f t="shared" si="127"/>
        <v>0.59328000000000003</v>
      </c>
      <c r="AX81" s="386">
        <f t="shared" si="128"/>
        <v>3.6000000000000004E-2</v>
      </c>
      <c r="AY81" s="386">
        <f t="shared" si="129"/>
        <v>9.8999999999999977E-2</v>
      </c>
      <c r="AZ81" s="386">
        <f t="shared" si="130"/>
        <v>4.3499999999999997E-2</v>
      </c>
      <c r="BA81" s="386">
        <f t="shared" si="152"/>
        <v>0.13499999999999998</v>
      </c>
      <c r="BB81" s="386">
        <f t="shared" si="153"/>
        <v>2.1030810543863696</v>
      </c>
      <c r="BC81">
        <f t="shared" si="131"/>
        <v>103.68</v>
      </c>
      <c r="BD81" s="604">
        <f t="shared" si="146"/>
        <v>0.98011892796632472</v>
      </c>
      <c r="BE81" s="614">
        <f t="shared" si="132"/>
        <v>7.0347097316817928</v>
      </c>
      <c r="BF81" s="614">
        <f t="shared" si="133"/>
        <v>14.472321451636569</v>
      </c>
      <c r="BG81" s="9"/>
      <c r="BH81" s="4">
        <f t="shared" si="147"/>
        <v>98.011892796632466</v>
      </c>
      <c r="BI81" s="386">
        <f t="shared" si="148"/>
        <v>0.27590039345593359</v>
      </c>
      <c r="BJ81" s="386">
        <f t="shared" si="149"/>
        <v>1.0689098788086622</v>
      </c>
      <c r="BK81" s="386">
        <f t="shared" si="134"/>
        <v>0.14069419463363586</v>
      </c>
      <c r="BL81" s="386">
        <f t="shared" si="135"/>
        <v>0.28944642903273138</v>
      </c>
      <c r="BM81" s="386">
        <f t="shared" si="150"/>
        <v>2.4173930173722363E-2</v>
      </c>
      <c r="BS81" s="18"/>
      <c r="BT81" s="19"/>
    </row>
    <row r="82" spans="1:72" x14ac:dyDescent="0.2">
      <c r="A82" s="2"/>
      <c r="G82">
        <v>73</v>
      </c>
      <c r="H82" s="610">
        <f t="shared" si="97"/>
        <v>12</v>
      </c>
      <c r="I82" s="4" t="str">
        <f t="shared" si="98"/>
        <v>BUCK-BST</v>
      </c>
      <c r="J82">
        <f t="shared" si="136"/>
        <v>3</v>
      </c>
      <c r="K82" s="386">
        <f t="shared" si="137"/>
        <v>8.76</v>
      </c>
      <c r="L82" s="4">
        <f t="shared" si="99"/>
        <v>9.7333333333333325</v>
      </c>
      <c r="M82" s="4">
        <f t="shared" si="151"/>
        <v>9.1012987012987008</v>
      </c>
      <c r="N82" s="386">
        <f t="shared" si="100"/>
        <v>0.96250000000000002</v>
      </c>
      <c r="O82" s="386">
        <f t="shared" si="101"/>
        <v>3.7499999999999943E-2</v>
      </c>
      <c r="P82" s="4">
        <f t="shared" si="102"/>
        <v>0</v>
      </c>
      <c r="Q82" s="4">
        <f t="shared" si="103"/>
        <v>9.1012987012987008</v>
      </c>
      <c r="R82" s="386">
        <f t="shared" si="138"/>
        <v>0.28379271982912319</v>
      </c>
      <c r="S82" s="386">
        <f t="shared" si="139"/>
        <v>0</v>
      </c>
      <c r="T82" s="386">
        <f t="shared" si="140"/>
        <v>0.28379271982912319</v>
      </c>
      <c r="U82" s="4">
        <f t="shared" si="104"/>
        <v>1.7290970543542716</v>
      </c>
      <c r="V82" s="386">
        <f t="shared" si="141"/>
        <v>5.9795532467532388E-3</v>
      </c>
      <c r="W82" s="386">
        <f t="shared" si="142"/>
        <v>5.9795532467532388E-3</v>
      </c>
      <c r="X82" s="4">
        <f t="shared" si="105"/>
        <v>0</v>
      </c>
      <c r="Y82" s="386">
        <f t="shared" si="143"/>
        <v>0</v>
      </c>
      <c r="Z82" s="603">
        <f t="shared" si="144"/>
        <v>0</v>
      </c>
      <c r="AA82" s="386">
        <f t="shared" si="106"/>
        <v>8.9290187939871988</v>
      </c>
      <c r="AB82" s="386">
        <f t="shared" si="107"/>
        <v>0.45444604675324674</v>
      </c>
      <c r="AC82" s="386">
        <f t="shared" si="108"/>
        <v>4.4969659090909088E-2</v>
      </c>
      <c r="AD82" s="386">
        <f t="shared" si="109"/>
        <v>0</v>
      </c>
      <c r="AE82" s="386">
        <f t="shared" si="110"/>
        <v>0.54934526240463843</v>
      </c>
      <c r="AF82" s="386">
        <f t="shared" si="111"/>
        <v>1.7624589149494525</v>
      </c>
      <c r="AG82" s="386">
        <f t="shared" si="112"/>
        <v>1.7705690133243371E-2</v>
      </c>
      <c r="AH82" s="386">
        <f t="shared" si="113"/>
        <v>8.7599999999999997E-2</v>
      </c>
      <c r="AI82" s="386">
        <f t="shared" si="114"/>
        <v>0.10567991730707253</v>
      </c>
      <c r="AJ82" s="386">
        <f t="shared" si="115"/>
        <v>1.7624589149494516</v>
      </c>
      <c r="AK82" s="386">
        <f t="shared" si="116"/>
        <v>5.9018967110811161E-3</v>
      </c>
      <c r="AL82" s="386">
        <f t="shared" si="117"/>
        <v>5.7488094717986812E-2</v>
      </c>
      <c r="AM82" s="386">
        <f t="shared" si="118"/>
        <v>0</v>
      </c>
      <c r="AN82" s="386">
        <f t="shared" si="119"/>
        <v>6.3464904090812457E-2</v>
      </c>
      <c r="AO82" s="386">
        <f t="shared" si="145"/>
        <v>8.9290187939871988</v>
      </c>
      <c r="AP82" s="386">
        <f t="shared" si="120"/>
        <v>0.15148201558441557</v>
      </c>
      <c r="AQ82" s="386">
        <f t="shared" si="121"/>
        <v>9.7333333333333327E-2</v>
      </c>
      <c r="AR82" s="386">
        <f t="shared" si="122"/>
        <v>0.25658907496837902</v>
      </c>
      <c r="AS82" s="386">
        <f t="shared" si="123"/>
        <v>0</v>
      </c>
      <c r="AT82" s="386">
        <f t="shared" si="124"/>
        <v>0</v>
      </c>
      <c r="AU82" s="386">
        <f t="shared" si="125"/>
        <v>0.11819795341499999</v>
      </c>
      <c r="AV82" s="386">
        <f t="shared" si="126"/>
        <v>2.48500914150784E-2</v>
      </c>
      <c r="AW82" s="386">
        <f t="shared" si="127"/>
        <v>0.59328000000000003</v>
      </c>
      <c r="AX82" s="386">
        <f t="shared" si="128"/>
        <v>3.6000000000000004E-2</v>
      </c>
      <c r="AY82" s="386">
        <f t="shared" si="129"/>
        <v>9.8999999999999977E-2</v>
      </c>
      <c r="AZ82" s="386">
        <f t="shared" si="130"/>
        <v>4.3499999999999997E-2</v>
      </c>
      <c r="BA82" s="386">
        <f t="shared" si="152"/>
        <v>0.13499999999999998</v>
      </c>
      <c r="BB82" s="386">
        <f t="shared" si="153"/>
        <v>2.1361794766768574</v>
      </c>
      <c r="BC82">
        <f t="shared" si="131"/>
        <v>105.12</v>
      </c>
      <c r="BD82" s="604">
        <f t="shared" si="146"/>
        <v>0.98008339018693669</v>
      </c>
      <c r="BE82" s="614">
        <f t="shared" si="132"/>
        <v>7.073777667235623</v>
      </c>
      <c r="BF82" s="614">
        <f t="shared" si="133"/>
        <v>14.779719979766451</v>
      </c>
      <c r="BG82" s="9"/>
      <c r="BH82" s="4">
        <f t="shared" si="147"/>
        <v>98.008339018693675</v>
      </c>
      <c r="BI82" s="386">
        <f t="shared" si="148"/>
        <v>0.28379271982912319</v>
      </c>
      <c r="BJ82" s="386">
        <f t="shared" si="149"/>
        <v>1.0932771121859024</v>
      </c>
      <c r="BK82" s="386">
        <f t="shared" si="134"/>
        <v>0.14147555334471246</v>
      </c>
      <c r="BL82" s="386">
        <f t="shared" si="135"/>
        <v>0.29559439959532902</v>
      </c>
      <c r="BM82" s="386">
        <f t="shared" si="150"/>
        <v>2.48500914150784E-2</v>
      </c>
      <c r="BS82" s="18"/>
      <c r="BT82" s="19"/>
    </row>
    <row r="83" spans="1:72" x14ac:dyDescent="0.2">
      <c r="A83" s="2"/>
      <c r="G83">
        <v>74</v>
      </c>
      <c r="H83" s="610">
        <f t="shared" si="97"/>
        <v>12</v>
      </c>
      <c r="I83" s="4" t="str">
        <f t="shared" si="98"/>
        <v>BUCK-BST</v>
      </c>
      <c r="J83">
        <f t="shared" si="136"/>
        <v>3</v>
      </c>
      <c r="K83" s="386">
        <f t="shared" si="137"/>
        <v>8.8800000000000008</v>
      </c>
      <c r="L83" s="4">
        <f t="shared" si="99"/>
        <v>9.8666666666666654</v>
      </c>
      <c r="M83" s="4">
        <f t="shared" si="151"/>
        <v>9.2259740259740273</v>
      </c>
      <c r="N83" s="386">
        <f t="shared" si="100"/>
        <v>0.96250000000000002</v>
      </c>
      <c r="O83" s="386">
        <f t="shared" si="101"/>
        <v>3.7499999999999943E-2</v>
      </c>
      <c r="P83" s="4">
        <f t="shared" si="102"/>
        <v>0</v>
      </c>
      <c r="Q83" s="4">
        <f t="shared" si="103"/>
        <v>9.2259740259740273</v>
      </c>
      <c r="R83" s="386">
        <f t="shared" si="138"/>
        <v>0.29180386577254952</v>
      </c>
      <c r="S83" s="386">
        <f t="shared" si="139"/>
        <v>0</v>
      </c>
      <c r="T83" s="386">
        <f t="shared" si="140"/>
        <v>0.29180386577254952</v>
      </c>
      <c r="U83" s="4">
        <f t="shared" si="104"/>
        <v>1.7527833153728234</v>
      </c>
      <c r="V83" s="386">
        <f t="shared" si="141"/>
        <v>6.1444987012986936E-3</v>
      </c>
      <c r="W83" s="386">
        <f t="shared" si="142"/>
        <v>6.1444987012986936E-3</v>
      </c>
      <c r="X83" s="4">
        <f t="shared" si="105"/>
        <v>0</v>
      </c>
      <c r="Y83" s="386">
        <f t="shared" si="143"/>
        <v>0</v>
      </c>
      <c r="Z83" s="603">
        <f t="shared" si="144"/>
        <v>0</v>
      </c>
      <c r="AA83" s="386">
        <f t="shared" si="106"/>
        <v>9.0513341199322319</v>
      </c>
      <c r="AB83" s="386">
        <f t="shared" si="107"/>
        <v>0.46698190129870149</v>
      </c>
      <c r="AC83" s="386">
        <f t="shared" si="108"/>
        <v>4.5585681818181817E-2</v>
      </c>
      <c r="AD83" s="386">
        <f t="shared" si="109"/>
        <v>0</v>
      </c>
      <c r="AE83" s="386">
        <f t="shared" si="110"/>
        <v>0.56537120739020763</v>
      </c>
      <c r="AF83" s="386">
        <f t="shared" si="111"/>
        <v>1.7866021877569795</v>
      </c>
      <c r="AG83" s="386">
        <f t="shared" si="112"/>
        <v>1.8194100050598745E-2</v>
      </c>
      <c r="AH83" s="386">
        <f t="shared" si="113"/>
        <v>8.8800000000000004E-2</v>
      </c>
      <c r="AI83" s="386">
        <f t="shared" si="114"/>
        <v>0.10738485420687051</v>
      </c>
      <c r="AJ83" s="386">
        <f t="shared" si="115"/>
        <v>1.7866021877569787</v>
      </c>
      <c r="AK83" s="386">
        <f t="shared" si="116"/>
        <v>6.0647000168662429E-3</v>
      </c>
      <c r="AL83" s="386">
        <f t="shared" si="117"/>
        <v>5.7488094717986812E-2</v>
      </c>
      <c r="AM83" s="386">
        <f t="shared" si="118"/>
        <v>0</v>
      </c>
      <c r="AN83" s="386">
        <f t="shared" si="119"/>
        <v>6.3629974075823215E-2</v>
      </c>
      <c r="AO83" s="386">
        <f t="shared" si="145"/>
        <v>9.0513341199322319</v>
      </c>
      <c r="AP83" s="386">
        <f t="shared" si="120"/>
        <v>0.15566063376623382</v>
      </c>
      <c r="AQ83" s="386">
        <f t="shared" si="121"/>
        <v>9.8666666666666653E-2</v>
      </c>
      <c r="AR83" s="386">
        <f t="shared" si="122"/>
        <v>0.26249946711580957</v>
      </c>
      <c r="AS83" s="386">
        <f t="shared" si="123"/>
        <v>0</v>
      </c>
      <c r="AT83" s="386">
        <f t="shared" si="124"/>
        <v>0</v>
      </c>
      <c r="AU83" s="386">
        <f t="shared" si="125"/>
        <v>0.11913503525999999</v>
      </c>
      <c r="AV83" s="386">
        <f t="shared" si="126"/>
        <v>2.5535579018384189E-2</v>
      </c>
      <c r="AW83" s="386">
        <f t="shared" si="127"/>
        <v>0.59328000000000003</v>
      </c>
      <c r="AX83" s="386">
        <f t="shared" si="128"/>
        <v>3.6000000000000004E-2</v>
      </c>
      <c r="AY83" s="386">
        <f t="shared" si="129"/>
        <v>9.8999999999999977E-2</v>
      </c>
      <c r="AZ83" s="386">
        <f t="shared" si="130"/>
        <v>4.3499999999999997E-2</v>
      </c>
      <c r="BA83" s="386">
        <f t="shared" si="152"/>
        <v>0.13499999999999998</v>
      </c>
      <c r="BB83" s="386">
        <f t="shared" si="153"/>
        <v>2.1697844815409435</v>
      </c>
      <c r="BC83">
        <f t="shared" si="131"/>
        <v>106.56</v>
      </c>
      <c r="BD83" s="604">
        <f t="shared" si="146"/>
        <v>0.98004424921940958</v>
      </c>
      <c r="BE83" s="614">
        <f t="shared" si="132"/>
        <v>7.11295486737116</v>
      </c>
      <c r="BF83" s="614">
        <f t="shared" si="133"/>
        <v>15.090701437580478</v>
      </c>
      <c r="BG83" s="9"/>
      <c r="BH83" s="4">
        <f t="shared" si="147"/>
        <v>98.004424921940952</v>
      </c>
      <c r="BI83" s="386">
        <f t="shared" si="148"/>
        <v>0.29180386577254952</v>
      </c>
      <c r="BJ83" s="386">
        <f t="shared" si="149"/>
        <v>1.1180205380487109</v>
      </c>
      <c r="BK83" s="386">
        <f t="shared" si="134"/>
        <v>0.1422590973474232</v>
      </c>
      <c r="BL83" s="386">
        <f t="shared" si="135"/>
        <v>0.30181402875160956</v>
      </c>
      <c r="BM83" s="386">
        <f t="shared" si="150"/>
        <v>2.5535579018384189E-2</v>
      </c>
      <c r="BS83" s="18"/>
      <c r="BT83" s="19"/>
    </row>
    <row r="84" spans="1:72" x14ac:dyDescent="0.2">
      <c r="G84">
        <v>75</v>
      </c>
      <c r="H84" s="610">
        <f t="shared" si="97"/>
        <v>12</v>
      </c>
      <c r="I84" s="4" t="str">
        <f t="shared" si="98"/>
        <v>BUCK-BST</v>
      </c>
      <c r="J84">
        <f t="shared" si="136"/>
        <v>3</v>
      </c>
      <c r="K84" s="386">
        <f t="shared" si="137"/>
        <v>9</v>
      </c>
      <c r="L84" s="4">
        <f t="shared" si="99"/>
        <v>10</v>
      </c>
      <c r="M84" s="4">
        <f t="shared" si="151"/>
        <v>9.3506493506493502</v>
      </c>
      <c r="N84" s="386">
        <f t="shared" si="100"/>
        <v>0.96250000000000002</v>
      </c>
      <c r="O84" s="386">
        <f t="shared" si="101"/>
        <v>3.7499999999999943E-2</v>
      </c>
      <c r="P84" s="4">
        <f t="shared" si="102"/>
        <v>0</v>
      </c>
      <c r="Q84" s="4">
        <f t="shared" si="103"/>
        <v>9.3506493506493502</v>
      </c>
      <c r="R84" s="386">
        <f t="shared" si="138"/>
        <v>0.29993425984851851</v>
      </c>
      <c r="S84" s="386">
        <f t="shared" si="139"/>
        <v>0</v>
      </c>
      <c r="T84" s="386">
        <f t="shared" si="140"/>
        <v>0.29993425984851851</v>
      </c>
      <c r="U84" s="4">
        <f t="shared" si="104"/>
        <v>1.7764695763913749</v>
      </c>
      <c r="V84" s="386">
        <f t="shared" si="141"/>
        <v>6.3116883116883021E-3</v>
      </c>
      <c r="W84" s="386">
        <f t="shared" si="142"/>
        <v>6.3116883116883021E-3</v>
      </c>
      <c r="X84" s="4">
        <f t="shared" si="105"/>
        <v>0</v>
      </c>
      <c r="Y84" s="386">
        <f t="shared" si="143"/>
        <v>0</v>
      </c>
      <c r="Z84" s="603">
        <f t="shared" si="144"/>
        <v>0</v>
      </c>
      <c r="AA84" s="386">
        <f t="shared" si="106"/>
        <v>9.1736494458772597</v>
      </c>
      <c r="AB84" s="386">
        <f t="shared" si="107"/>
        <v>0.47968831168831166</v>
      </c>
      <c r="AC84" s="386">
        <f t="shared" si="108"/>
        <v>4.6201704545454539E-2</v>
      </c>
      <c r="AD84" s="386">
        <f t="shared" si="109"/>
        <v>0</v>
      </c>
      <c r="AE84" s="386">
        <f t="shared" si="110"/>
        <v>0.58169663122299342</v>
      </c>
      <c r="AF84" s="386">
        <f t="shared" si="111"/>
        <v>1.8107454605645061</v>
      </c>
      <c r="AG84" s="386">
        <f t="shared" si="112"/>
        <v>1.8689155000843304E-2</v>
      </c>
      <c r="AH84" s="386">
        <f t="shared" si="113"/>
        <v>0.09</v>
      </c>
      <c r="AI84" s="386">
        <f t="shared" si="114"/>
        <v>0.10909694092867006</v>
      </c>
      <c r="AJ84" s="386">
        <f t="shared" si="115"/>
        <v>1.810745460564505</v>
      </c>
      <c r="AK84" s="386">
        <f t="shared" si="116"/>
        <v>6.2297183336144273E-3</v>
      </c>
      <c r="AL84" s="386">
        <f t="shared" si="117"/>
        <v>5.7488094717986812E-2</v>
      </c>
      <c r="AM84" s="386">
        <f t="shared" si="118"/>
        <v>0</v>
      </c>
      <c r="AN84" s="386">
        <f t="shared" si="119"/>
        <v>6.3797300894604891E-2</v>
      </c>
      <c r="AO84" s="386">
        <f t="shared" si="145"/>
        <v>9.1736494458772597</v>
      </c>
      <c r="AP84" s="386">
        <f t="shared" si="120"/>
        <v>0.1598961038961039</v>
      </c>
      <c r="AQ84" s="386">
        <f t="shared" si="121"/>
        <v>0.1</v>
      </c>
      <c r="AR84" s="386">
        <f t="shared" si="122"/>
        <v>0.26848194736616149</v>
      </c>
      <c r="AS84" s="386">
        <f t="shared" si="123"/>
        <v>0</v>
      </c>
      <c r="AT84" s="386">
        <f t="shared" si="124"/>
        <v>0</v>
      </c>
      <c r="AU84" s="386">
        <f t="shared" si="125"/>
        <v>0.12007200937499998</v>
      </c>
      <c r="AV84" s="386">
        <f t="shared" si="126"/>
        <v>2.623039298363971E-2</v>
      </c>
      <c r="AW84" s="386">
        <f t="shared" si="127"/>
        <v>0.59328000000000003</v>
      </c>
      <c r="AX84" s="386">
        <f t="shared" si="128"/>
        <v>3.6000000000000004E-2</v>
      </c>
      <c r="AY84" s="386">
        <f t="shared" si="129"/>
        <v>9.8999999999999977E-2</v>
      </c>
      <c r="AZ84" s="386">
        <f t="shared" si="130"/>
        <v>4.3499999999999997E-2</v>
      </c>
      <c r="BA84" s="386">
        <f t="shared" si="152"/>
        <v>0.13499999999999998</v>
      </c>
      <c r="BB84" s="386">
        <f t="shared" si="153"/>
        <v>2.2039011709312764</v>
      </c>
      <c r="BC84">
        <f t="shared" si="131"/>
        <v>108</v>
      </c>
      <c r="BD84" s="604">
        <f t="shared" si="146"/>
        <v>0.98000160477519827</v>
      </c>
      <c r="BE84" s="614">
        <f t="shared" si="132"/>
        <v>7.152241354105243</v>
      </c>
      <c r="BF84" s="614">
        <f t="shared" si="133"/>
        <v>15.405285522995573</v>
      </c>
      <c r="BG84" s="9"/>
      <c r="BH84" s="4">
        <f t="shared" si="147"/>
        <v>98.000160477519827</v>
      </c>
      <c r="BI84" s="386">
        <f t="shared" si="148"/>
        <v>0.29993425984851851</v>
      </c>
      <c r="BJ84" s="386">
        <f t="shared" si="149"/>
        <v>1.14314482978743</v>
      </c>
      <c r="BK84" s="386">
        <f t="shared" si="134"/>
        <v>0.14304482708210486</v>
      </c>
      <c r="BL84" s="386">
        <f t="shared" si="135"/>
        <v>0.30810571045991147</v>
      </c>
      <c r="BM84" s="386">
        <f t="shared" si="150"/>
        <v>2.623039298363971E-2</v>
      </c>
      <c r="BS84" s="18"/>
      <c r="BT84" s="19"/>
    </row>
    <row r="85" spans="1:72" x14ac:dyDescent="0.2">
      <c r="G85">
        <v>76</v>
      </c>
      <c r="H85" s="610">
        <f t="shared" si="97"/>
        <v>12</v>
      </c>
      <c r="I85" s="4" t="str">
        <f t="shared" si="98"/>
        <v>BUCK-BST</v>
      </c>
      <c r="J85">
        <f t="shared" si="136"/>
        <v>3</v>
      </c>
      <c r="K85" s="386">
        <f t="shared" si="137"/>
        <v>9.1199999999999992</v>
      </c>
      <c r="L85" s="4">
        <f t="shared" si="99"/>
        <v>10.133333333333333</v>
      </c>
      <c r="M85" s="4">
        <f t="shared" si="151"/>
        <v>9.4753246753246749</v>
      </c>
      <c r="N85" s="386">
        <f t="shared" si="100"/>
        <v>0.96250000000000002</v>
      </c>
      <c r="O85" s="386">
        <f t="shared" si="101"/>
        <v>3.7499999999999943E-2</v>
      </c>
      <c r="P85" s="4">
        <f t="shared" si="102"/>
        <v>0</v>
      </c>
      <c r="Q85" s="4">
        <f t="shared" si="103"/>
        <v>9.4753246753246749</v>
      </c>
      <c r="R85" s="386">
        <f t="shared" si="138"/>
        <v>0.3081843378103894</v>
      </c>
      <c r="S85" s="386">
        <f t="shared" si="139"/>
        <v>0</v>
      </c>
      <c r="T85" s="386">
        <f t="shared" si="140"/>
        <v>0.3081843378103894</v>
      </c>
      <c r="U85" s="4">
        <f t="shared" si="104"/>
        <v>1.8001558374099265</v>
      </c>
      <c r="V85" s="386">
        <f t="shared" si="141"/>
        <v>6.481122077922067E-3</v>
      </c>
      <c r="W85" s="386">
        <f t="shared" si="142"/>
        <v>6.481122077922067E-3</v>
      </c>
      <c r="X85" s="4">
        <f t="shared" si="105"/>
        <v>0</v>
      </c>
      <c r="Y85" s="386">
        <f t="shared" si="143"/>
        <v>0</v>
      </c>
      <c r="Z85" s="603">
        <f t="shared" si="144"/>
        <v>0</v>
      </c>
      <c r="AA85" s="386">
        <f t="shared" si="106"/>
        <v>9.2959647718222893</v>
      </c>
      <c r="AB85" s="386">
        <f t="shared" si="107"/>
        <v>0.49256527792207788</v>
      </c>
      <c r="AC85" s="386">
        <f t="shared" si="108"/>
        <v>4.6817727272727268E-2</v>
      </c>
      <c r="AD85" s="386">
        <f t="shared" si="109"/>
        <v>0</v>
      </c>
      <c r="AE85" s="386">
        <f t="shared" si="110"/>
        <v>0.59832591978852911</v>
      </c>
      <c r="AF85" s="386">
        <f t="shared" si="111"/>
        <v>1.8348887333720327</v>
      </c>
      <c r="AG85" s="386">
        <f t="shared" si="112"/>
        <v>1.9190854983977049E-2</v>
      </c>
      <c r="AH85" s="386">
        <f t="shared" si="113"/>
        <v>9.1199999999999989E-2</v>
      </c>
      <c r="AI85" s="386">
        <f t="shared" si="114"/>
        <v>0.11081618645681104</v>
      </c>
      <c r="AJ85" s="386">
        <f t="shared" si="115"/>
        <v>1.8348887333720318</v>
      </c>
      <c r="AK85" s="386">
        <f t="shared" si="116"/>
        <v>6.3969516613256771E-3</v>
      </c>
      <c r="AL85" s="386">
        <f t="shared" si="117"/>
        <v>5.7488094717986812E-2</v>
      </c>
      <c r="AM85" s="386">
        <f t="shared" si="118"/>
        <v>0</v>
      </c>
      <c r="AN85" s="386">
        <f t="shared" si="119"/>
        <v>6.3966884993558362E-2</v>
      </c>
      <c r="AO85" s="386">
        <f t="shared" si="145"/>
        <v>9.2959647718222893</v>
      </c>
      <c r="AP85" s="386">
        <f t="shared" si="120"/>
        <v>0.16418842597402594</v>
      </c>
      <c r="AQ85" s="386">
        <f t="shared" si="121"/>
        <v>0.10133333333333333</v>
      </c>
      <c r="AR85" s="386">
        <f t="shared" si="122"/>
        <v>0.27453691613371073</v>
      </c>
      <c r="AS85" s="386">
        <f t="shared" si="123"/>
        <v>0</v>
      </c>
      <c r="AT85" s="386">
        <f t="shared" si="124"/>
        <v>0</v>
      </c>
      <c r="AU85" s="386">
        <f t="shared" si="125"/>
        <v>0.12100887576</v>
      </c>
      <c r="AV85" s="386">
        <f t="shared" si="126"/>
        <v>2.6934533310844971E-2</v>
      </c>
      <c r="AW85" s="386">
        <f t="shared" si="127"/>
        <v>0.59328000000000003</v>
      </c>
      <c r="AX85" s="386">
        <f t="shared" si="128"/>
        <v>3.6000000000000004E-2</v>
      </c>
      <c r="AY85" s="386">
        <f t="shared" si="129"/>
        <v>9.8999999999999977E-2</v>
      </c>
      <c r="AZ85" s="386">
        <f t="shared" si="130"/>
        <v>4.3499999999999997E-2</v>
      </c>
      <c r="BA85" s="386">
        <f t="shared" si="152"/>
        <v>0.13499999999999998</v>
      </c>
      <c r="BB85" s="386">
        <f t="shared" si="153"/>
        <v>2.238534776331766</v>
      </c>
      <c r="BC85">
        <f t="shared" si="131"/>
        <v>109.44</v>
      </c>
      <c r="BD85" s="604">
        <f t="shared" si="146"/>
        <v>0.97995555026921632</v>
      </c>
      <c r="BE85" s="614">
        <f t="shared" si="132"/>
        <v>7.1916371497579181</v>
      </c>
      <c r="BF85" s="614">
        <f t="shared" si="133"/>
        <v>15.723492256725535</v>
      </c>
      <c r="BG85" s="9"/>
      <c r="BH85" s="4">
        <f t="shared" si="147"/>
        <v>97.995555026921636</v>
      </c>
      <c r="BI85" s="386">
        <f t="shared" si="148"/>
        <v>0.3081843378103894</v>
      </c>
      <c r="BJ85" s="386">
        <f t="shared" si="149"/>
        <v>1.1686547831326093</v>
      </c>
      <c r="BK85" s="386">
        <f t="shared" si="134"/>
        <v>0.14383274299515836</v>
      </c>
      <c r="BL85" s="386">
        <f t="shared" si="135"/>
        <v>0.31446984513451071</v>
      </c>
      <c r="BM85" s="386">
        <f t="shared" si="150"/>
        <v>2.6934533310844971E-2</v>
      </c>
      <c r="BS85" s="18"/>
      <c r="BT85" s="19"/>
    </row>
    <row r="86" spans="1:72" x14ac:dyDescent="0.2">
      <c r="G86">
        <v>77</v>
      </c>
      <c r="H86" s="610">
        <f t="shared" si="97"/>
        <v>12</v>
      </c>
      <c r="I86" s="4" t="str">
        <f t="shared" si="98"/>
        <v>BUCK-BST</v>
      </c>
      <c r="J86">
        <f t="shared" si="136"/>
        <v>3</v>
      </c>
      <c r="K86" s="386">
        <f t="shared" si="137"/>
        <v>9.24</v>
      </c>
      <c r="L86" s="4">
        <f t="shared" si="99"/>
        <v>10.266666666666666</v>
      </c>
      <c r="M86" s="4">
        <f t="shared" si="151"/>
        <v>9.6</v>
      </c>
      <c r="N86" s="386">
        <f t="shared" si="100"/>
        <v>0.96250000000000002</v>
      </c>
      <c r="O86" s="386">
        <f t="shared" si="101"/>
        <v>3.7499999999999943E-2</v>
      </c>
      <c r="P86" s="4">
        <f t="shared" si="102"/>
        <v>0</v>
      </c>
      <c r="Q86" s="4">
        <f t="shared" si="103"/>
        <v>9.6</v>
      </c>
      <c r="R86" s="386">
        <f t="shared" si="138"/>
        <v>0.3165545426626804</v>
      </c>
      <c r="S86" s="386">
        <f t="shared" si="139"/>
        <v>0</v>
      </c>
      <c r="T86" s="386">
        <f t="shared" si="140"/>
        <v>0.3165545426626804</v>
      </c>
      <c r="U86" s="4">
        <f t="shared" si="104"/>
        <v>1.8238420984284782</v>
      </c>
      <c r="V86" s="386">
        <f t="shared" si="141"/>
        <v>6.6527999999999891E-3</v>
      </c>
      <c r="W86" s="386">
        <f t="shared" si="142"/>
        <v>6.6527999999999891E-3</v>
      </c>
      <c r="X86" s="4">
        <f t="shared" si="105"/>
        <v>0</v>
      </c>
      <c r="Y86" s="386">
        <f t="shared" si="143"/>
        <v>0</v>
      </c>
      <c r="Z86" s="603">
        <f t="shared" si="144"/>
        <v>0</v>
      </c>
      <c r="AA86" s="386">
        <f t="shared" si="106"/>
        <v>9.4182800977673207</v>
      </c>
      <c r="AB86" s="386">
        <f t="shared" si="107"/>
        <v>0.50561280000000008</v>
      </c>
      <c r="AC86" s="386">
        <f t="shared" si="108"/>
        <v>4.7433749999999997E-2</v>
      </c>
      <c r="AD86" s="386">
        <f t="shared" si="109"/>
        <v>0</v>
      </c>
      <c r="AE86" s="386">
        <f t="shared" si="110"/>
        <v>0.61526357809135812</v>
      </c>
      <c r="AF86" s="386">
        <f t="shared" si="111"/>
        <v>1.8590320061795595</v>
      </c>
      <c r="AG86" s="386">
        <f t="shared" si="112"/>
        <v>1.9699199999999986E-2</v>
      </c>
      <c r="AH86" s="386">
        <f t="shared" si="113"/>
        <v>9.240000000000001E-2</v>
      </c>
      <c r="AI86" s="386">
        <f t="shared" si="114"/>
        <v>0.11254259983654</v>
      </c>
      <c r="AJ86" s="386">
        <f t="shared" si="115"/>
        <v>1.8590320061795584</v>
      </c>
      <c r="AK86" s="386">
        <f t="shared" si="116"/>
        <v>6.5663999999999879E-3</v>
      </c>
      <c r="AL86" s="386">
        <f t="shared" si="117"/>
        <v>5.7488094717986812E-2</v>
      </c>
      <c r="AM86" s="386">
        <f t="shared" si="118"/>
        <v>0</v>
      </c>
      <c r="AN86" s="386">
        <f t="shared" si="119"/>
        <v>6.4138726825151732E-2</v>
      </c>
      <c r="AO86" s="386">
        <f t="shared" si="145"/>
        <v>9.4182800977673207</v>
      </c>
      <c r="AP86" s="386">
        <f t="shared" si="120"/>
        <v>0.16853760000000001</v>
      </c>
      <c r="AQ86" s="386">
        <f t="shared" si="121"/>
        <v>0.10266666666666666</v>
      </c>
      <c r="AR86" s="386">
        <f t="shared" si="122"/>
        <v>0.2806647803640846</v>
      </c>
      <c r="AS86" s="386">
        <f t="shared" si="123"/>
        <v>0</v>
      </c>
      <c r="AT86" s="386">
        <f t="shared" si="124"/>
        <v>0</v>
      </c>
      <c r="AU86" s="386">
        <f t="shared" si="125"/>
        <v>0.12194563441499998</v>
      </c>
      <c r="AV86" s="386">
        <f t="shared" si="126"/>
        <v>2.7647999999999968E-2</v>
      </c>
      <c r="AW86" s="386">
        <f t="shared" si="127"/>
        <v>0.59328000000000003</v>
      </c>
      <c r="AX86" s="386">
        <f t="shared" si="128"/>
        <v>3.6000000000000004E-2</v>
      </c>
      <c r="AY86" s="386">
        <f t="shared" si="129"/>
        <v>9.8999999999999977E-2</v>
      </c>
      <c r="AZ86" s="386">
        <f t="shared" si="130"/>
        <v>4.3499999999999997E-2</v>
      </c>
      <c r="BA86" s="386">
        <f t="shared" si="152"/>
        <v>0.13499999999999998</v>
      </c>
      <c r="BB86" s="386">
        <f t="shared" si="153"/>
        <v>2.2736906621948147</v>
      </c>
      <c r="BC86">
        <f t="shared" si="131"/>
        <v>110.88</v>
      </c>
      <c r="BD86" s="604">
        <f t="shared" si="146"/>
        <v>0.97990617319780926</v>
      </c>
      <c r="BE86" s="614">
        <f t="shared" si="132"/>
        <v>7.2311422769525864</v>
      </c>
      <c r="BF86" s="614">
        <f t="shared" si="133"/>
        <v>16.045341986051731</v>
      </c>
      <c r="BG86" s="9"/>
      <c r="BH86" s="4">
        <f t="shared" si="147"/>
        <v>97.990617319780924</v>
      </c>
      <c r="BI86" s="386">
        <f t="shared" si="148"/>
        <v>0.3165545426626804</v>
      </c>
      <c r="BJ86" s="386">
        <f t="shared" si="149"/>
        <v>1.1945553195321346</v>
      </c>
      <c r="BK86" s="386">
        <f t="shared" si="134"/>
        <v>0.14462284553905172</v>
      </c>
      <c r="BL86" s="386">
        <f t="shared" si="135"/>
        <v>0.32090683972103462</v>
      </c>
      <c r="BM86" s="386">
        <f t="shared" si="150"/>
        <v>2.7647999999999968E-2</v>
      </c>
      <c r="BS86" s="18"/>
      <c r="BT86" s="19"/>
    </row>
    <row r="87" spans="1:72" x14ac:dyDescent="0.2">
      <c r="G87">
        <v>78</v>
      </c>
      <c r="H87" s="610">
        <f t="shared" si="97"/>
        <v>12</v>
      </c>
      <c r="I87" s="4" t="str">
        <f t="shared" si="98"/>
        <v>BUCK-BST</v>
      </c>
      <c r="J87">
        <f t="shared" si="136"/>
        <v>3</v>
      </c>
      <c r="K87" s="386">
        <f t="shared" si="137"/>
        <v>9.36</v>
      </c>
      <c r="L87" s="4">
        <f t="shared" si="99"/>
        <v>10.399999999999999</v>
      </c>
      <c r="M87" s="4">
        <f t="shared" si="151"/>
        <v>9.7246753246753244</v>
      </c>
      <c r="N87" s="386">
        <f t="shared" si="100"/>
        <v>0.96250000000000002</v>
      </c>
      <c r="O87" s="386">
        <f t="shared" si="101"/>
        <v>3.7499999999999943E-2</v>
      </c>
      <c r="P87" s="4">
        <f t="shared" si="102"/>
        <v>0</v>
      </c>
      <c r="Q87" s="4">
        <f t="shared" si="103"/>
        <v>9.7246753246753244</v>
      </c>
      <c r="R87" s="386">
        <f t="shared" si="138"/>
        <v>0.32504532472233733</v>
      </c>
      <c r="S87" s="386">
        <f t="shared" si="139"/>
        <v>0</v>
      </c>
      <c r="T87" s="386">
        <f t="shared" si="140"/>
        <v>0.32504532472233733</v>
      </c>
      <c r="U87" s="4">
        <f t="shared" si="104"/>
        <v>1.8475283594470298</v>
      </c>
      <c r="V87" s="386">
        <f t="shared" si="141"/>
        <v>6.8267220779220667E-3</v>
      </c>
      <c r="W87" s="386">
        <f t="shared" si="142"/>
        <v>6.8267220779220667E-3</v>
      </c>
      <c r="X87" s="4">
        <f t="shared" si="105"/>
        <v>0</v>
      </c>
      <c r="Y87" s="386">
        <f t="shared" si="143"/>
        <v>0</v>
      </c>
      <c r="Z87" s="603">
        <f t="shared" si="144"/>
        <v>0</v>
      </c>
      <c r="AA87" s="386">
        <f t="shared" si="106"/>
        <v>9.5405954237123503</v>
      </c>
      <c r="AB87" s="386">
        <f t="shared" si="107"/>
        <v>0.51883087792207794</v>
      </c>
      <c r="AC87" s="386">
        <f t="shared" si="108"/>
        <v>4.8049772727272726E-2</v>
      </c>
      <c r="AD87" s="386">
        <f t="shared" si="109"/>
        <v>0</v>
      </c>
      <c r="AE87" s="386">
        <f t="shared" si="110"/>
        <v>0.63251423368115112</v>
      </c>
      <c r="AF87" s="386">
        <f t="shared" si="111"/>
        <v>1.8831752789870864</v>
      </c>
      <c r="AG87" s="386">
        <f t="shared" si="112"/>
        <v>2.0214190048912117E-2</v>
      </c>
      <c r="AH87" s="386">
        <f t="shared" si="113"/>
        <v>9.3600000000000003E-2</v>
      </c>
      <c r="AI87" s="386">
        <f t="shared" si="114"/>
        <v>0.11427619017416135</v>
      </c>
      <c r="AJ87" s="386">
        <f t="shared" si="115"/>
        <v>1.8831752789870853</v>
      </c>
      <c r="AK87" s="386">
        <f t="shared" si="116"/>
        <v>6.7380633496373641E-3</v>
      </c>
      <c r="AL87" s="386">
        <f t="shared" si="117"/>
        <v>5.7488094717986812E-2</v>
      </c>
      <c r="AM87" s="386">
        <f t="shared" si="118"/>
        <v>0</v>
      </c>
      <c r="AN87" s="386">
        <f t="shared" si="119"/>
        <v>6.4312826847923291E-2</v>
      </c>
      <c r="AO87" s="386">
        <f t="shared" si="145"/>
        <v>9.5405954237123503</v>
      </c>
      <c r="AP87" s="386">
        <f t="shared" si="120"/>
        <v>0.17294362597402599</v>
      </c>
      <c r="AQ87" s="386">
        <f t="shared" si="121"/>
        <v>0.10399999999999998</v>
      </c>
      <c r="AR87" s="386">
        <f t="shared" si="122"/>
        <v>0.28686595361123057</v>
      </c>
      <c r="AS87" s="386">
        <f t="shared" si="123"/>
        <v>0</v>
      </c>
      <c r="AT87" s="386">
        <f t="shared" si="124"/>
        <v>0</v>
      </c>
      <c r="AU87" s="386">
        <f t="shared" si="125"/>
        <v>0.12288228533999998</v>
      </c>
      <c r="AV87" s="386">
        <f t="shared" si="126"/>
        <v>2.8370793051104706E-2</v>
      </c>
      <c r="AW87" s="386">
        <f t="shared" si="127"/>
        <v>0.59328000000000003</v>
      </c>
      <c r="AX87" s="386">
        <f t="shared" si="128"/>
        <v>3.6000000000000004E-2</v>
      </c>
      <c r="AY87" s="386">
        <f t="shared" si="129"/>
        <v>9.8999999999999977E-2</v>
      </c>
      <c r="AZ87" s="386">
        <f t="shared" si="130"/>
        <v>4.3499999999999997E-2</v>
      </c>
      <c r="BA87" s="386">
        <f t="shared" si="152"/>
        <v>0.13499999999999998</v>
      </c>
      <c r="BB87" s="386">
        <f t="shared" si="153"/>
        <v>2.3093743295058307</v>
      </c>
      <c r="BC87">
        <f t="shared" si="131"/>
        <v>112.32</v>
      </c>
      <c r="BD87" s="604">
        <f t="shared" si="146"/>
        <v>0.97985355548685582</v>
      </c>
      <c r="BE87" s="614">
        <f t="shared" si="132"/>
        <v>7.270756758616165</v>
      </c>
      <c r="BF87" s="614">
        <f t="shared" si="133"/>
        <v>16.370855388671529</v>
      </c>
      <c r="BG87" s="9"/>
      <c r="BH87" s="4">
        <f t="shared" si="147"/>
        <v>97.985355548685575</v>
      </c>
      <c r="BI87" s="386">
        <f t="shared" si="148"/>
        <v>0.32504532472233733</v>
      </c>
      <c r="BJ87" s="386">
        <f t="shared" si="149"/>
        <v>1.2208514896544662</v>
      </c>
      <c r="BK87" s="386">
        <f t="shared" si="134"/>
        <v>0.1454151351723233</v>
      </c>
      <c r="BL87" s="386">
        <f t="shared" si="135"/>
        <v>0.32741710777343058</v>
      </c>
      <c r="BM87" s="386">
        <f t="shared" si="150"/>
        <v>2.8370793051104706E-2</v>
      </c>
      <c r="BS87" s="18"/>
      <c r="BT87" s="19"/>
    </row>
    <row r="88" spans="1:72" x14ac:dyDescent="0.2">
      <c r="G88">
        <v>79</v>
      </c>
      <c r="H88" s="610">
        <f t="shared" si="97"/>
        <v>12</v>
      </c>
      <c r="I88" s="4" t="str">
        <f t="shared" si="98"/>
        <v>BUCK-BST</v>
      </c>
      <c r="J88">
        <f t="shared" si="136"/>
        <v>3</v>
      </c>
      <c r="K88" s="386">
        <f t="shared" si="137"/>
        <v>9.48</v>
      </c>
      <c r="L88" s="4">
        <f t="shared" si="99"/>
        <v>10.533333333333333</v>
      </c>
      <c r="M88" s="4">
        <f t="shared" si="151"/>
        <v>9.8493506493506491</v>
      </c>
      <c r="N88" s="386">
        <f t="shared" si="100"/>
        <v>0.96250000000000002</v>
      </c>
      <c r="O88" s="386">
        <f t="shared" si="101"/>
        <v>3.7499999999999943E-2</v>
      </c>
      <c r="P88" s="4">
        <f t="shared" si="102"/>
        <v>0</v>
      </c>
      <c r="Q88" s="4">
        <f t="shared" si="103"/>
        <v>9.8493506493506491</v>
      </c>
      <c r="R88" s="386">
        <f t="shared" si="138"/>
        <v>0.33365714168117866</v>
      </c>
      <c r="S88" s="386">
        <f t="shared" si="139"/>
        <v>0</v>
      </c>
      <c r="T88" s="386">
        <f t="shared" si="140"/>
        <v>0.33365714168117866</v>
      </c>
      <c r="U88" s="4">
        <f t="shared" si="104"/>
        <v>1.8712146204655817</v>
      </c>
      <c r="V88" s="386">
        <f t="shared" si="141"/>
        <v>7.0028883116883024E-3</v>
      </c>
      <c r="W88" s="386">
        <f t="shared" si="142"/>
        <v>7.0028883116883024E-3</v>
      </c>
      <c r="X88" s="4">
        <f t="shared" si="105"/>
        <v>0</v>
      </c>
      <c r="Y88" s="386">
        <f t="shared" si="143"/>
        <v>0</v>
      </c>
      <c r="Z88" s="603">
        <f t="shared" si="144"/>
        <v>0</v>
      </c>
      <c r="AA88" s="386">
        <f t="shared" si="106"/>
        <v>9.6629107496573798</v>
      </c>
      <c r="AB88" s="386">
        <f t="shared" si="107"/>
        <v>0.53221951168831161</v>
      </c>
      <c r="AC88" s="386">
        <f t="shared" si="108"/>
        <v>4.8665795454545448E-2</v>
      </c>
      <c r="AD88" s="386">
        <f t="shared" si="109"/>
        <v>0</v>
      </c>
      <c r="AE88" s="386">
        <f t="shared" si="110"/>
        <v>0.6500826402086346</v>
      </c>
      <c r="AF88" s="386">
        <f t="shared" si="111"/>
        <v>1.9073185517946132</v>
      </c>
      <c r="AG88" s="386">
        <f t="shared" si="112"/>
        <v>2.0735825130713433E-2</v>
      </c>
      <c r="AH88" s="386">
        <f t="shared" si="113"/>
        <v>9.4800000000000009E-2</v>
      </c>
      <c r="AI88" s="386">
        <f t="shared" si="114"/>
        <v>0.11601696663719037</v>
      </c>
      <c r="AJ88" s="386">
        <f t="shared" si="115"/>
        <v>1.9073185517946121</v>
      </c>
      <c r="AK88" s="386">
        <f t="shared" si="116"/>
        <v>6.911941710237803E-3</v>
      </c>
      <c r="AL88" s="386">
        <f t="shared" si="117"/>
        <v>5.7488094717986812E-2</v>
      </c>
      <c r="AM88" s="386">
        <f t="shared" si="118"/>
        <v>0</v>
      </c>
      <c r="AN88" s="386">
        <f t="shared" si="119"/>
        <v>6.4489185526484569E-2</v>
      </c>
      <c r="AO88" s="386">
        <f t="shared" si="145"/>
        <v>9.6629107496573798</v>
      </c>
      <c r="AP88" s="386">
        <f t="shared" si="120"/>
        <v>0.17740650389610388</v>
      </c>
      <c r="AQ88" s="386">
        <f t="shared" si="121"/>
        <v>0.10533333333333333</v>
      </c>
      <c r="AR88" s="386">
        <f t="shared" si="122"/>
        <v>0.29314085611596602</v>
      </c>
      <c r="AS88" s="386">
        <f t="shared" si="123"/>
        <v>0</v>
      </c>
      <c r="AT88" s="386">
        <f t="shared" si="124"/>
        <v>0</v>
      </c>
      <c r="AU88" s="386">
        <f t="shared" si="125"/>
        <v>0.12381882853499999</v>
      </c>
      <c r="AV88" s="386">
        <f t="shared" si="126"/>
        <v>2.9102912464159188E-2</v>
      </c>
      <c r="AW88" s="386">
        <f t="shared" si="127"/>
        <v>0.59328000000000003</v>
      </c>
      <c r="AX88" s="386">
        <f t="shared" si="128"/>
        <v>3.6000000000000004E-2</v>
      </c>
      <c r="AY88" s="386">
        <f t="shared" si="129"/>
        <v>9.8999999999999977E-2</v>
      </c>
      <c r="AZ88" s="386">
        <f t="shared" si="130"/>
        <v>4.3499999999999997E-2</v>
      </c>
      <c r="BA88" s="386">
        <f t="shared" si="152"/>
        <v>0.13499999999999998</v>
      </c>
      <c r="BB88" s="386">
        <f t="shared" si="153"/>
        <v>2.3455914194803018</v>
      </c>
      <c r="BC88">
        <f t="shared" si="131"/>
        <v>113.76</v>
      </c>
      <c r="BD88" s="604">
        <f t="shared" si="146"/>
        <v>0.97979777381258182</v>
      </c>
      <c r="BE88" s="614">
        <f t="shared" si="132"/>
        <v>7.3104806179792288</v>
      </c>
      <c r="BF88" s="614">
        <f t="shared" si="133"/>
        <v>16.700053476625801</v>
      </c>
      <c r="BG88" s="9"/>
      <c r="BH88" s="4">
        <f t="shared" si="147"/>
        <v>97.979777381258188</v>
      </c>
      <c r="BI88" s="386">
        <f t="shared" si="148"/>
        <v>0.33365714168117866</v>
      </c>
      <c r="BJ88" s="386">
        <f t="shared" si="149"/>
        <v>1.2475484770232754</v>
      </c>
      <c r="BK88" s="386">
        <f t="shared" si="134"/>
        <v>0.14620961235958457</v>
      </c>
      <c r="BL88" s="386">
        <f t="shared" si="135"/>
        <v>0.33400106953251602</v>
      </c>
      <c r="BM88" s="386">
        <f t="shared" si="150"/>
        <v>2.9102912464159188E-2</v>
      </c>
      <c r="BS88" s="18"/>
      <c r="BT88" s="19"/>
    </row>
    <row r="89" spans="1:72" x14ac:dyDescent="0.2">
      <c r="G89">
        <v>80</v>
      </c>
      <c r="H89" s="610">
        <f t="shared" si="97"/>
        <v>12</v>
      </c>
      <c r="I89" s="4" t="str">
        <f t="shared" si="98"/>
        <v>BUCK-BST</v>
      </c>
      <c r="J89">
        <f t="shared" si="136"/>
        <v>3</v>
      </c>
      <c r="K89" s="386">
        <f t="shared" si="137"/>
        <v>9.6</v>
      </c>
      <c r="L89" s="4">
        <f t="shared" si="99"/>
        <v>10.666666666666664</v>
      </c>
      <c r="M89" s="4">
        <f t="shared" si="151"/>
        <v>9.9740259740259738</v>
      </c>
      <c r="N89" s="386">
        <f t="shared" si="100"/>
        <v>0.96250000000000002</v>
      </c>
      <c r="O89" s="386">
        <f t="shared" si="101"/>
        <v>3.7499999999999943E-2</v>
      </c>
      <c r="P89" s="4">
        <f t="shared" si="102"/>
        <v>0</v>
      </c>
      <c r="Q89" s="4">
        <f t="shared" si="103"/>
        <v>9.9740259740259738</v>
      </c>
      <c r="R89" s="386">
        <f t="shared" si="138"/>
        <v>0.34239045866953488</v>
      </c>
      <c r="S89" s="386">
        <f t="shared" si="139"/>
        <v>0</v>
      </c>
      <c r="T89" s="386">
        <f t="shared" si="140"/>
        <v>0.34239045866953488</v>
      </c>
      <c r="U89" s="4">
        <f t="shared" si="104"/>
        <v>1.894900881484133</v>
      </c>
      <c r="V89" s="386">
        <f t="shared" si="141"/>
        <v>7.1812987012986893E-3</v>
      </c>
      <c r="W89" s="386">
        <f t="shared" si="142"/>
        <v>7.1812987012986893E-3</v>
      </c>
      <c r="X89" s="4">
        <f t="shared" si="105"/>
        <v>0</v>
      </c>
      <c r="Y89" s="386">
        <f t="shared" si="143"/>
        <v>0</v>
      </c>
      <c r="Z89" s="603">
        <f t="shared" si="144"/>
        <v>0</v>
      </c>
      <c r="AA89" s="386">
        <f t="shared" si="106"/>
        <v>9.7852260756024112</v>
      </c>
      <c r="AB89" s="386">
        <f t="shared" si="107"/>
        <v>0.54577870129870143</v>
      </c>
      <c r="AC89" s="386">
        <f t="shared" si="108"/>
        <v>4.928181818181817E-2</v>
      </c>
      <c r="AD89" s="386">
        <f t="shared" si="109"/>
        <v>0</v>
      </c>
      <c r="AE89" s="386">
        <f t="shared" si="110"/>
        <v>0.66797368111685351</v>
      </c>
      <c r="AF89" s="386">
        <f t="shared" si="111"/>
        <v>1.9314618246021398</v>
      </c>
      <c r="AG89" s="386">
        <f t="shared" si="112"/>
        <v>2.1264105245403935E-2</v>
      </c>
      <c r="AH89" s="386">
        <f t="shared" si="113"/>
        <v>9.6000000000000002E-2</v>
      </c>
      <c r="AI89" s="386">
        <f t="shared" si="114"/>
        <v>0.11776493845450697</v>
      </c>
      <c r="AJ89" s="386">
        <f t="shared" si="115"/>
        <v>1.9314618246021387</v>
      </c>
      <c r="AK89" s="386">
        <f t="shared" si="116"/>
        <v>7.0880350818013031E-3</v>
      </c>
      <c r="AL89" s="386">
        <f t="shared" si="117"/>
        <v>5.7488094717986812E-2</v>
      </c>
      <c r="AM89" s="386">
        <f t="shared" si="118"/>
        <v>0</v>
      </c>
      <c r="AN89" s="386">
        <f t="shared" si="119"/>
        <v>6.4667803331523499E-2</v>
      </c>
      <c r="AO89" s="386">
        <f t="shared" si="145"/>
        <v>9.7852260756024112</v>
      </c>
      <c r="AP89" s="386">
        <f t="shared" si="120"/>
        <v>0.18192623376623379</v>
      </c>
      <c r="AQ89" s="386">
        <f t="shared" si="121"/>
        <v>0.10666666666666665</v>
      </c>
      <c r="AR89" s="386">
        <f t="shared" si="122"/>
        <v>0.29948991488614152</v>
      </c>
      <c r="AS89" s="386">
        <f t="shared" si="123"/>
        <v>0</v>
      </c>
      <c r="AT89" s="386">
        <f t="shared" si="124"/>
        <v>0</v>
      </c>
      <c r="AU89" s="386">
        <f t="shared" si="125"/>
        <v>0.12475526399999998</v>
      </c>
      <c r="AV89" s="386">
        <f t="shared" si="126"/>
        <v>2.9844358239163399E-2</v>
      </c>
      <c r="AW89" s="386">
        <f t="shared" si="127"/>
        <v>0.59328000000000003</v>
      </c>
      <c r="AX89" s="386">
        <f t="shared" si="128"/>
        <v>3.6000000000000004E-2</v>
      </c>
      <c r="AY89" s="386">
        <f t="shared" si="129"/>
        <v>9.8999999999999977E-2</v>
      </c>
      <c r="AZ89" s="386">
        <f t="shared" si="130"/>
        <v>4.3499999999999997E-2</v>
      </c>
      <c r="BA89" s="386">
        <f t="shared" si="152"/>
        <v>0.13499999999999998</v>
      </c>
      <c r="BB89" s="386">
        <f t="shared" si="153"/>
        <v>2.3823477173990231</v>
      </c>
      <c r="BC89">
        <f t="shared" si="131"/>
        <v>115.19999999999999</v>
      </c>
      <c r="BD89" s="604">
        <f t="shared" si="146"/>
        <v>0.97973889989741625</v>
      </c>
      <c r="BE89" s="614">
        <f t="shared" si="132"/>
        <v>7.3503138785761744</v>
      </c>
      <c r="BF89" s="614">
        <f t="shared" si="133"/>
        <v>17.032957600307075</v>
      </c>
      <c r="BG89" s="9"/>
      <c r="BH89" s="4">
        <f t="shared" si="147"/>
        <v>97.973889989741622</v>
      </c>
      <c r="BI89" s="386">
        <f t="shared" si="148"/>
        <v>0.34239045866953488</v>
      </c>
      <c r="BJ89" s="386">
        <f t="shared" si="149"/>
        <v>1.2746516017890257</v>
      </c>
      <c r="BK89" s="386">
        <f t="shared" si="134"/>
        <v>0.14700627757152349</v>
      </c>
      <c r="BL89" s="386">
        <f t="shared" si="135"/>
        <v>0.3406591520061415</v>
      </c>
      <c r="BM89" s="386">
        <f t="shared" si="150"/>
        <v>2.9844358239163399E-2</v>
      </c>
      <c r="BS89" s="18"/>
      <c r="BT89" s="19"/>
    </row>
    <row r="90" spans="1:72" x14ac:dyDescent="0.2">
      <c r="G90">
        <v>81</v>
      </c>
      <c r="H90" s="610">
        <f t="shared" si="97"/>
        <v>12</v>
      </c>
      <c r="I90" s="4" t="str">
        <f t="shared" si="98"/>
        <v>BUCK-BST</v>
      </c>
      <c r="J90">
        <f t="shared" si="136"/>
        <v>3</v>
      </c>
      <c r="K90" s="386">
        <f t="shared" si="137"/>
        <v>9.7200000000000006</v>
      </c>
      <c r="L90" s="4">
        <f t="shared" si="99"/>
        <v>10.8</v>
      </c>
      <c r="M90" s="4">
        <f t="shared" si="151"/>
        <v>10.098701298701299</v>
      </c>
      <c r="N90" s="386">
        <f t="shared" si="100"/>
        <v>0.96250000000000002</v>
      </c>
      <c r="O90" s="386">
        <f t="shared" si="101"/>
        <v>3.7499999999999943E-2</v>
      </c>
      <c r="P90" s="4">
        <f t="shared" si="102"/>
        <v>0</v>
      </c>
      <c r="Q90" s="4">
        <f t="shared" si="103"/>
        <v>10.098701298701299</v>
      </c>
      <c r="R90" s="386">
        <f t="shared" si="138"/>
        <v>0.35124574832109806</v>
      </c>
      <c r="S90" s="386">
        <f t="shared" si="139"/>
        <v>0</v>
      </c>
      <c r="T90" s="386">
        <f t="shared" si="140"/>
        <v>0.35124574832109806</v>
      </c>
      <c r="U90" s="4">
        <f t="shared" si="104"/>
        <v>1.918587142502685</v>
      </c>
      <c r="V90" s="386">
        <f t="shared" si="141"/>
        <v>7.3619532467532368E-3</v>
      </c>
      <c r="W90" s="386">
        <f t="shared" si="142"/>
        <v>7.3619532467532368E-3</v>
      </c>
      <c r="X90" s="4">
        <f t="shared" si="105"/>
        <v>0</v>
      </c>
      <c r="Y90" s="386">
        <f t="shared" si="143"/>
        <v>0</v>
      </c>
      <c r="Z90" s="603">
        <f t="shared" si="144"/>
        <v>0</v>
      </c>
      <c r="AA90" s="386">
        <f t="shared" si="106"/>
        <v>9.9075414015474408</v>
      </c>
      <c r="AB90" s="386">
        <f t="shared" si="107"/>
        <v>0.55950844675324685</v>
      </c>
      <c r="AC90" s="386">
        <f t="shared" si="108"/>
        <v>4.9897840909090913E-2</v>
      </c>
      <c r="AD90" s="386">
        <f t="shared" si="109"/>
        <v>0</v>
      </c>
      <c r="AE90" s="386">
        <f t="shared" si="110"/>
        <v>0.68619237347356088</v>
      </c>
      <c r="AF90" s="386">
        <f t="shared" si="111"/>
        <v>1.9556050974096666</v>
      </c>
      <c r="AG90" s="386">
        <f t="shared" si="112"/>
        <v>2.1799030392983629E-2</v>
      </c>
      <c r="AH90" s="386">
        <f t="shared" si="113"/>
        <v>9.7200000000000009E-2</v>
      </c>
      <c r="AI90" s="386">
        <f t="shared" si="114"/>
        <v>0.11952011491651122</v>
      </c>
      <c r="AJ90" s="386">
        <f t="shared" si="115"/>
        <v>1.9556050974096655</v>
      </c>
      <c r="AK90" s="386">
        <f t="shared" si="116"/>
        <v>7.2663434643278684E-3</v>
      </c>
      <c r="AL90" s="386">
        <f t="shared" si="117"/>
        <v>5.7488094717986812E-2</v>
      </c>
      <c r="AM90" s="386">
        <f t="shared" si="118"/>
        <v>0</v>
      </c>
      <c r="AN90" s="386">
        <f t="shared" si="119"/>
        <v>6.4848680739807471E-2</v>
      </c>
      <c r="AO90" s="386">
        <f t="shared" si="145"/>
        <v>9.9075414015474408</v>
      </c>
      <c r="AP90" s="386">
        <f t="shared" si="120"/>
        <v>0.18650281558441559</v>
      </c>
      <c r="AQ90" s="386">
        <f t="shared" si="121"/>
        <v>0.10800000000000001</v>
      </c>
      <c r="AR90" s="386">
        <f t="shared" si="122"/>
        <v>0.30591356377844409</v>
      </c>
      <c r="AS90" s="386">
        <f t="shared" si="123"/>
        <v>0</v>
      </c>
      <c r="AT90" s="386">
        <f t="shared" si="124"/>
        <v>0</v>
      </c>
      <c r="AU90" s="386">
        <f t="shared" si="125"/>
        <v>0.125691591735</v>
      </c>
      <c r="AV90" s="386">
        <f t="shared" si="126"/>
        <v>3.0595130376117354E-2</v>
      </c>
      <c r="AW90" s="386">
        <f t="shared" si="127"/>
        <v>0.59328000000000003</v>
      </c>
      <c r="AX90" s="386">
        <f t="shared" si="128"/>
        <v>3.6000000000000004E-2</v>
      </c>
      <c r="AY90" s="386">
        <f t="shared" si="129"/>
        <v>9.8999999999999977E-2</v>
      </c>
      <c r="AZ90" s="386">
        <f t="shared" si="130"/>
        <v>4.3499999999999997E-2</v>
      </c>
      <c r="BA90" s="386">
        <f t="shared" si="152"/>
        <v>0.13499999999999998</v>
      </c>
      <c r="BB90" s="386">
        <f t="shared" si="153"/>
        <v>2.4196491565872922</v>
      </c>
      <c r="BC90">
        <f t="shared" si="131"/>
        <v>116.64000000000001</v>
      </c>
      <c r="BD90" s="604">
        <f t="shared" si="146"/>
        <v>0.97967700078298592</v>
      </c>
      <c r="BE90" s="614">
        <f t="shared" si="132"/>
        <v>7.390256564245373</v>
      </c>
      <c r="BF90" s="614">
        <f t="shared" si="133"/>
        <v>17.369589452549704</v>
      </c>
      <c r="BG90" s="9"/>
      <c r="BH90" s="4">
        <f t="shared" si="147"/>
        <v>97.967700078298591</v>
      </c>
      <c r="BI90" s="386">
        <f t="shared" si="148"/>
        <v>0.35124574832109806</v>
      </c>
      <c r="BJ90" s="386">
        <f t="shared" si="149"/>
        <v>1.3021663246433235</v>
      </c>
      <c r="BK90" s="386">
        <f t="shared" si="134"/>
        <v>0.14780513128490746</v>
      </c>
      <c r="BL90" s="386">
        <f t="shared" si="135"/>
        <v>0.3473917890509941</v>
      </c>
      <c r="BM90" s="386">
        <f t="shared" si="150"/>
        <v>3.0595130376117354E-2</v>
      </c>
      <c r="BS90" s="18"/>
      <c r="BT90" s="19"/>
    </row>
    <row r="91" spans="1:72" x14ac:dyDescent="0.2">
      <c r="G91">
        <v>82</v>
      </c>
      <c r="H91" s="610">
        <f t="shared" si="97"/>
        <v>12</v>
      </c>
      <c r="I91" s="4" t="str">
        <f t="shared" si="98"/>
        <v>BUCK-BST</v>
      </c>
      <c r="J91">
        <f t="shared" si="136"/>
        <v>3</v>
      </c>
      <c r="K91" s="386">
        <f t="shared" si="137"/>
        <v>9.84</v>
      </c>
      <c r="L91" s="4">
        <f t="shared" si="99"/>
        <v>10.933333333333332</v>
      </c>
      <c r="M91" s="4">
        <f t="shared" si="151"/>
        <v>10.223376623376623</v>
      </c>
      <c r="N91" s="386">
        <f t="shared" si="100"/>
        <v>0.96250000000000002</v>
      </c>
      <c r="O91" s="386">
        <f t="shared" si="101"/>
        <v>3.7499999999999943E-2</v>
      </c>
      <c r="P91" s="4">
        <f t="shared" si="102"/>
        <v>0</v>
      </c>
      <c r="Q91" s="4">
        <f t="shared" si="103"/>
        <v>10.223376623376623</v>
      </c>
      <c r="R91" s="386">
        <f t="shared" si="138"/>
        <v>0.36022349083900035</v>
      </c>
      <c r="S91" s="386">
        <f t="shared" si="139"/>
        <v>0</v>
      </c>
      <c r="T91" s="386">
        <f t="shared" si="140"/>
        <v>0.36022349083900035</v>
      </c>
      <c r="U91" s="4">
        <f t="shared" si="104"/>
        <v>1.9422734035212366</v>
      </c>
      <c r="V91" s="386">
        <f t="shared" si="141"/>
        <v>7.5448519480519364E-3</v>
      </c>
      <c r="W91" s="386">
        <f t="shared" si="142"/>
        <v>7.5448519480519364E-3</v>
      </c>
      <c r="X91" s="4">
        <f t="shared" si="105"/>
        <v>0</v>
      </c>
      <c r="Y91" s="386">
        <f t="shared" si="143"/>
        <v>0</v>
      </c>
      <c r="Z91" s="603">
        <f t="shared" si="144"/>
        <v>0</v>
      </c>
      <c r="AA91" s="386">
        <f t="shared" si="106"/>
        <v>10.02985672749247</v>
      </c>
      <c r="AB91" s="386">
        <f t="shared" si="107"/>
        <v>0.57340874805194808</v>
      </c>
      <c r="AC91" s="386">
        <f t="shared" si="108"/>
        <v>5.0513863636363635E-2</v>
      </c>
      <c r="AD91" s="386">
        <f t="shared" si="109"/>
        <v>0</v>
      </c>
      <c r="AE91" s="386">
        <f t="shared" si="110"/>
        <v>0.70474387195083377</v>
      </c>
      <c r="AF91" s="386">
        <f t="shared" si="111"/>
        <v>1.9797483702171934</v>
      </c>
      <c r="AG91" s="386">
        <f t="shared" si="112"/>
        <v>2.2340600573452513E-2</v>
      </c>
      <c r="AH91" s="386">
        <f t="shared" si="113"/>
        <v>9.8400000000000001E-2</v>
      </c>
      <c r="AI91" s="386">
        <f t="shared" si="114"/>
        <v>0.12128250537527986</v>
      </c>
      <c r="AJ91" s="386">
        <f t="shared" si="115"/>
        <v>1.9797483702171923</v>
      </c>
      <c r="AK91" s="386">
        <f t="shared" si="116"/>
        <v>7.4468668578174958E-3</v>
      </c>
      <c r="AL91" s="386">
        <f t="shared" si="117"/>
        <v>5.7488094717986812E-2</v>
      </c>
      <c r="AM91" s="386">
        <f t="shared" si="118"/>
        <v>0</v>
      </c>
      <c r="AN91" s="386">
        <f t="shared" si="119"/>
        <v>6.5031818234186661E-2</v>
      </c>
      <c r="AO91" s="386">
        <f t="shared" si="145"/>
        <v>10.02985672749247</v>
      </c>
      <c r="AP91" s="386">
        <f t="shared" si="120"/>
        <v>0.19113624935064935</v>
      </c>
      <c r="AQ91" s="386">
        <f t="shared" si="121"/>
        <v>0.10933333333333332</v>
      </c>
      <c r="AR91" s="386">
        <f t="shared" si="122"/>
        <v>0.31241224358187486</v>
      </c>
      <c r="AS91" s="386">
        <f t="shared" si="123"/>
        <v>0</v>
      </c>
      <c r="AT91" s="386">
        <f t="shared" si="124"/>
        <v>0</v>
      </c>
      <c r="AU91" s="386">
        <f t="shared" si="125"/>
        <v>0.12662781173999998</v>
      </c>
      <c r="AV91" s="386">
        <f t="shared" si="126"/>
        <v>3.1355228875021054E-2</v>
      </c>
      <c r="AW91" s="386">
        <f t="shared" si="127"/>
        <v>0.59328000000000003</v>
      </c>
      <c r="AX91" s="386">
        <f t="shared" si="128"/>
        <v>3.6000000000000004E-2</v>
      </c>
      <c r="AY91" s="386">
        <f t="shared" si="129"/>
        <v>9.8999999999999977E-2</v>
      </c>
      <c r="AZ91" s="386">
        <f t="shared" si="130"/>
        <v>4.3499999999999997E-2</v>
      </c>
      <c r="BA91" s="386">
        <f t="shared" si="152"/>
        <v>0.13499999999999998</v>
      </c>
      <c r="BB91" s="386">
        <f t="shared" si="153"/>
        <v>2.4575018225442484</v>
      </c>
      <c r="BC91">
        <f t="shared" si="131"/>
        <v>118.08</v>
      </c>
      <c r="BD91" s="604">
        <f t="shared" si="146"/>
        <v>0.97961213908214073</v>
      </c>
      <c r="BE91" s="614">
        <f t="shared" si="132"/>
        <v>7.4303086991293332</v>
      </c>
      <c r="BF91" s="614">
        <f t="shared" si="133"/>
        <v>17.709971072803743</v>
      </c>
      <c r="BG91" s="9"/>
      <c r="BH91" s="4">
        <f t="shared" si="147"/>
        <v>97.961213908214077</v>
      </c>
      <c r="BI91" s="386">
        <f t="shared" si="148"/>
        <v>0.36022349083900035</v>
      </c>
      <c r="BJ91" s="386">
        <f t="shared" si="149"/>
        <v>1.330098250882175</v>
      </c>
      <c r="BK91" s="386">
        <f t="shared" si="134"/>
        <v>0.14860617398258666</v>
      </c>
      <c r="BL91" s="386">
        <f t="shared" si="135"/>
        <v>0.35419942145607486</v>
      </c>
      <c r="BM91" s="386">
        <f t="shared" si="150"/>
        <v>3.1355228875021054E-2</v>
      </c>
      <c r="BS91" s="18"/>
      <c r="BT91" s="19"/>
    </row>
    <row r="92" spans="1:72" x14ac:dyDescent="0.2">
      <c r="G92">
        <v>83</v>
      </c>
      <c r="H92" s="610">
        <f t="shared" si="97"/>
        <v>12</v>
      </c>
      <c r="I92" s="4" t="str">
        <f t="shared" si="98"/>
        <v>BUCK-BST</v>
      </c>
      <c r="J92">
        <f t="shared" si="136"/>
        <v>3</v>
      </c>
      <c r="K92" s="386">
        <f t="shared" si="137"/>
        <v>9.9600000000000009</v>
      </c>
      <c r="L92" s="4">
        <f t="shared" si="99"/>
        <v>11.066666666666666</v>
      </c>
      <c r="M92" s="4">
        <f t="shared" si="151"/>
        <v>10.348051948051948</v>
      </c>
      <c r="N92" s="386">
        <f t="shared" si="100"/>
        <v>0.96250000000000002</v>
      </c>
      <c r="O92" s="386">
        <f t="shared" si="101"/>
        <v>3.7499999999999943E-2</v>
      </c>
      <c r="P92" s="4">
        <f t="shared" si="102"/>
        <v>0</v>
      </c>
      <c r="Q92" s="4">
        <f t="shared" si="103"/>
        <v>10.348051948051948</v>
      </c>
      <c r="R92" s="386">
        <f t="shared" si="138"/>
        <v>0.36932417406313778</v>
      </c>
      <c r="S92" s="386">
        <f t="shared" si="139"/>
        <v>0</v>
      </c>
      <c r="T92" s="386">
        <f t="shared" si="140"/>
        <v>0.36932417406313778</v>
      </c>
      <c r="U92" s="4">
        <f t="shared" si="104"/>
        <v>1.9659596645397883</v>
      </c>
      <c r="V92" s="386">
        <f t="shared" si="141"/>
        <v>7.7299948051947941E-3</v>
      </c>
      <c r="W92" s="386">
        <f t="shared" si="142"/>
        <v>7.7299948051947941E-3</v>
      </c>
      <c r="X92" s="4">
        <f t="shared" si="105"/>
        <v>0</v>
      </c>
      <c r="Y92" s="386">
        <f t="shared" si="143"/>
        <v>0</v>
      </c>
      <c r="Z92" s="603">
        <f t="shared" si="144"/>
        <v>0</v>
      </c>
      <c r="AA92" s="386">
        <f t="shared" si="106"/>
        <v>10.152172053437502</v>
      </c>
      <c r="AB92" s="386">
        <f t="shared" si="107"/>
        <v>0.58747960519480535</v>
      </c>
      <c r="AC92" s="386">
        <f t="shared" si="108"/>
        <v>5.1129886363636363E-2</v>
      </c>
      <c r="AD92" s="386">
        <f t="shared" si="109"/>
        <v>0</v>
      </c>
      <c r="AE92" s="386">
        <f t="shared" si="110"/>
        <v>0.72363347295829927</v>
      </c>
      <c r="AF92" s="386">
        <f t="shared" si="111"/>
        <v>2.00389164302472</v>
      </c>
      <c r="AG92" s="386">
        <f t="shared" si="112"/>
        <v>2.2888815786810578E-2</v>
      </c>
      <c r="AH92" s="386">
        <f t="shared" si="113"/>
        <v>9.9600000000000008E-2</v>
      </c>
      <c r="AI92" s="386">
        <f t="shared" si="114"/>
        <v>0.12305211924472442</v>
      </c>
      <c r="AJ92" s="386">
        <f t="shared" si="115"/>
        <v>2.0038916430247191</v>
      </c>
      <c r="AK92" s="386">
        <f t="shared" si="116"/>
        <v>7.6296052622701858E-3</v>
      </c>
      <c r="AL92" s="386">
        <f t="shared" si="117"/>
        <v>5.7488094717986812E-2</v>
      </c>
      <c r="AM92" s="386">
        <f t="shared" si="118"/>
        <v>0</v>
      </c>
      <c r="AN92" s="386">
        <f t="shared" si="119"/>
        <v>6.5217216303597114E-2</v>
      </c>
      <c r="AO92" s="386">
        <f t="shared" si="145"/>
        <v>10.152172053437502</v>
      </c>
      <c r="AP92" s="386">
        <f t="shared" si="120"/>
        <v>0.19582653506493511</v>
      </c>
      <c r="AQ92" s="386">
        <f t="shared" si="121"/>
        <v>0.11066666666666666</v>
      </c>
      <c r="AR92" s="386">
        <f t="shared" si="122"/>
        <v>0.31898640210293122</v>
      </c>
      <c r="AS92" s="386">
        <f t="shared" si="123"/>
        <v>0</v>
      </c>
      <c r="AT92" s="386">
        <f t="shared" si="124"/>
        <v>0</v>
      </c>
      <c r="AU92" s="386">
        <f t="shared" si="125"/>
        <v>0.127563924015</v>
      </c>
      <c r="AV92" s="386">
        <f t="shared" si="126"/>
        <v>3.2124653735874482E-2</v>
      </c>
      <c r="AW92" s="386">
        <f t="shared" si="127"/>
        <v>0.59328000000000003</v>
      </c>
      <c r="AX92" s="386">
        <f t="shared" si="128"/>
        <v>3.6000000000000004E-2</v>
      </c>
      <c r="AY92" s="386">
        <f t="shared" si="129"/>
        <v>9.8999999999999977E-2</v>
      </c>
      <c r="AZ92" s="386">
        <f t="shared" si="130"/>
        <v>4.3499999999999997E-2</v>
      </c>
      <c r="BA92" s="386">
        <f t="shared" si="152"/>
        <v>0.13499999999999998</v>
      </c>
      <c r="BB92" s="386">
        <f t="shared" si="153"/>
        <v>2.4959119572287589</v>
      </c>
      <c r="BC92">
        <f t="shared" si="131"/>
        <v>119.52000000000001</v>
      </c>
      <c r="BD92" s="604">
        <f t="shared" si="146"/>
        <v>0.97954437321171961</v>
      </c>
      <c r="BE92" s="614">
        <f t="shared" si="132"/>
        <v>7.470470307674856</v>
      </c>
      <c r="BF92" s="614">
        <f t="shared" si="133"/>
        <v>18.054124851394061</v>
      </c>
      <c r="BG92" s="9"/>
      <c r="BH92" s="4">
        <f t="shared" si="147"/>
        <v>97.954437321171966</v>
      </c>
      <c r="BI92" s="386">
        <f t="shared" si="148"/>
        <v>0.36932417406313778</v>
      </c>
      <c r="BJ92" s="386">
        <f t="shared" si="149"/>
        <v>1.3584531346245519</v>
      </c>
      <c r="BK92" s="386">
        <f t="shared" si="134"/>
        <v>0.14940940615349713</v>
      </c>
      <c r="BL92" s="386">
        <f t="shared" si="135"/>
        <v>0.3610824970278812</v>
      </c>
      <c r="BM92" s="386">
        <f t="shared" si="150"/>
        <v>3.2124653735874482E-2</v>
      </c>
      <c r="BS92" s="18"/>
      <c r="BT92" s="19"/>
    </row>
    <row r="93" spans="1:72" x14ac:dyDescent="0.2">
      <c r="G93">
        <v>84</v>
      </c>
      <c r="H93" s="610">
        <f t="shared" si="97"/>
        <v>12</v>
      </c>
      <c r="I93" s="4" t="str">
        <f t="shared" si="98"/>
        <v>BUCK-BST</v>
      </c>
      <c r="J93">
        <f t="shared" si="136"/>
        <v>3</v>
      </c>
      <c r="K93" s="386">
        <f t="shared" si="137"/>
        <v>10.08</v>
      </c>
      <c r="L93" s="4">
        <f t="shared" si="99"/>
        <v>11.2</v>
      </c>
      <c r="M93" s="4">
        <f t="shared" si="151"/>
        <v>10.472727272727273</v>
      </c>
      <c r="N93" s="386">
        <f t="shared" si="100"/>
        <v>0.96250000000000002</v>
      </c>
      <c r="O93" s="386">
        <f t="shared" si="101"/>
        <v>3.7499999999999943E-2</v>
      </c>
      <c r="P93" s="4">
        <f t="shared" si="102"/>
        <v>0</v>
      </c>
      <c r="Q93" s="4">
        <f t="shared" si="103"/>
        <v>10.472727272727273</v>
      </c>
      <c r="R93" s="386">
        <f t="shared" si="138"/>
        <v>0.37854829353875935</v>
      </c>
      <c r="S93" s="386">
        <f t="shared" si="139"/>
        <v>0</v>
      </c>
      <c r="T93" s="386">
        <f t="shared" si="140"/>
        <v>0.37854829353875935</v>
      </c>
      <c r="U93" s="4">
        <f t="shared" si="104"/>
        <v>1.9896459255583399</v>
      </c>
      <c r="V93" s="386">
        <f t="shared" si="141"/>
        <v>7.9173818181818064E-3</v>
      </c>
      <c r="W93" s="386">
        <f t="shared" si="142"/>
        <v>7.9173818181818064E-3</v>
      </c>
      <c r="X93" s="4">
        <f t="shared" si="105"/>
        <v>0</v>
      </c>
      <c r="Y93" s="386">
        <f t="shared" si="143"/>
        <v>0</v>
      </c>
      <c r="Z93" s="603">
        <f t="shared" si="144"/>
        <v>0</v>
      </c>
      <c r="AA93" s="386">
        <f t="shared" si="106"/>
        <v>10.274487379382531</v>
      </c>
      <c r="AB93" s="386">
        <f t="shared" si="107"/>
        <v>0.60172101818181822</v>
      </c>
      <c r="AC93" s="386">
        <f t="shared" si="108"/>
        <v>5.1745909090909092E-2</v>
      </c>
      <c r="AD93" s="386">
        <f t="shared" si="109"/>
        <v>0</v>
      </c>
      <c r="AE93" s="386">
        <f t="shared" si="110"/>
        <v>0.74286661893670292</v>
      </c>
      <c r="AF93" s="386">
        <f t="shared" si="111"/>
        <v>2.0280349158322468</v>
      </c>
      <c r="AG93" s="386">
        <f t="shared" si="112"/>
        <v>2.3443676033057841E-2</v>
      </c>
      <c r="AH93" s="386">
        <f t="shared" si="113"/>
        <v>0.1008</v>
      </c>
      <c r="AI93" s="386">
        <f t="shared" si="114"/>
        <v>0.12482896600075048</v>
      </c>
      <c r="AJ93" s="386">
        <f t="shared" si="115"/>
        <v>2.0280349158322455</v>
      </c>
      <c r="AK93" s="386">
        <f t="shared" si="116"/>
        <v>7.8145586776859361E-3</v>
      </c>
      <c r="AL93" s="386">
        <f t="shared" si="117"/>
        <v>5.7488094717986812E-2</v>
      </c>
      <c r="AM93" s="386">
        <f t="shared" si="118"/>
        <v>0</v>
      </c>
      <c r="AN93" s="386">
        <f t="shared" si="119"/>
        <v>6.5404875443064059E-2</v>
      </c>
      <c r="AO93" s="386">
        <f t="shared" si="145"/>
        <v>10.274487379382531</v>
      </c>
      <c r="AP93" s="386">
        <f t="shared" si="120"/>
        <v>0.20057367272727272</v>
      </c>
      <c r="AQ93" s="386">
        <f t="shared" si="121"/>
        <v>0.11199999999999999</v>
      </c>
      <c r="AR93" s="386">
        <f t="shared" si="122"/>
        <v>0.32563649425252522</v>
      </c>
      <c r="AS93" s="386">
        <f t="shared" si="123"/>
        <v>0</v>
      </c>
      <c r="AT93" s="386">
        <f t="shared" si="124"/>
        <v>0</v>
      </c>
      <c r="AU93" s="386">
        <f t="shared" si="125"/>
        <v>0.12849992855999998</v>
      </c>
      <c r="AV93" s="386">
        <f t="shared" si="126"/>
        <v>3.2903404958677648E-2</v>
      </c>
      <c r="AW93" s="386">
        <f t="shared" si="127"/>
        <v>0.59328000000000003</v>
      </c>
      <c r="AX93" s="386">
        <f t="shared" si="128"/>
        <v>3.6000000000000004E-2</v>
      </c>
      <c r="AY93" s="386">
        <f t="shared" si="129"/>
        <v>9.8999999999999977E-2</v>
      </c>
      <c r="AZ93" s="386">
        <f t="shared" si="130"/>
        <v>4.3499999999999997E-2</v>
      </c>
      <c r="BA93" s="386">
        <f t="shared" si="152"/>
        <v>0.13499999999999998</v>
      </c>
      <c r="BB93" s="386">
        <f t="shared" si="153"/>
        <v>2.5348859635086614</v>
      </c>
      <c r="BC93">
        <f t="shared" si="131"/>
        <v>120.96000000000001</v>
      </c>
      <c r="BD93" s="604">
        <f t="shared" si="146"/>
        <v>0.97947375760760091</v>
      </c>
      <c r="BE93" s="614">
        <f t="shared" si="132"/>
        <v>7.510741414633201</v>
      </c>
      <c r="BF93" s="614">
        <f t="shared" si="133"/>
        <v>18.402073533866261</v>
      </c>
      <c r="BG93" s="9"/>
      <c r="BH93" s="4">
        <f t="shared" si="147"/>
        <v>97.947375760760096</v>
      </c>
      <c r="BI93" s="386">
        <f t="shared" si="148"/>
        <v>0.37854829353875935</v>
      </c>
      <c r="BJ93" s="386">
        <f t="shared" si="149"/>
        <v>1.3872368831930426</v>
      </c>
      <c r="BK93" s="386">
        <f t="shared" si="134"/>
        <v>0.15021482829266403</v>
      </c>
      <c r="BL93" s="386">
        <f t="shared" si="135"/>
        <v>0.36804147067732523</v>
      </c>
      <c r="BM93" s="386">
        <f t="shared" si="150"/>
        <v>3.2903404958677648E-2</v>
      </c>
      <c r="BS93" s="18"/>
      <c r="BT93" s="19"/>
    </row>
    <row r="94" spans="1:72" x14ac:dyDescent="0.2">
      <c r="G94">
        <v>85</v>
      </c>
      <c r="H94" s="610">
        <f t="shared" si="97"/>
        <v>12</v>
      </c>
      <c r="I94" s="4" t="str">
        <f t="shared" si="98"/>
        <v>BUCK-BST</v>
      </c>
      <c r="J94">
        <f t="shared" si="136"/>
        <v>3</v>
      </c>
      <c r="K94" s="386">
        <f t="shared" si="137"/>
        <v>10.199999999999999</v>
      </c>
      <c r="L94" s="4">
        <f t="shared" si="99"/>
        <v>11.333333333333332</v>
      </c>
      <c r="M94" s="4">
        <f t="shared" si="151"/>
        <v>10.597402597402596</v>
      </c>
      <c r="N94" s="386">
        <f t="shared" si="100"/>
        <v>0.96250000000000002</v>
      </c>
      <c r="O94" s="386">
        <f t="shared" si="101"/>
        <v>3.7499999999999943E-2</v>
      </c>
      <c r="P94" s="4">
        <f t="shared" si="102"/>
        <v>0</v>
      </c>
      <c r="Q94" s="4">
        <f t="shared" si="103"/>
        <v>10.597402597402596</v>
      </c>
      <c r="R94" s="386">
        <f t="shared" si="138"/>
        <v>0.38789635258633676</v>
      </c>
      <c r="S94" s="386">
        <f t="shared" si="139"/>
        <v>0</v>
      </c>
      <c r="T94" s="386">
        <f t="shared" si="140"/>
        <v>0.38789635258633676</v>
      </c>
      <c r="U94" s="4">
        <f t="shared" si="104"/>
        <v>2.0133321865768914</v>
      </c>
      <c r="V94" s="386">
        <f t="shared" si="141"/>
        <v>8.1070129870129733E-3</v>
      </c>
      <c r="W94" s="386">
        <f t="shared" si="142"/>
        <v>8.1070129870129733E-3</v>
      </c>
      <c r="X94" s="4">
        <f t="shared" si="105"/>
        <v>0</v>
      </c>
      <c r="Y94" s="386">
        <f t="shared" si="143"/>
        <v>0</v>
      </c>
      <c r="Z94" s="603">
        <f t="shared" si="144"/>
        <v>0</v>
      </c>
      <c r="AA94" s="386">
        <f t="shared" si="106"/>
        <v>10.396802705327559</v>
      </c>
      <c r="AB94" s="386">
        <f t="shared" si="107"/>
        <v>0.6161329870129868</v>
      </c>
      <c r="AC94" s="386">
        <f t="shared" si="108"/>
        <v>5.2361931818181807E-2</v>
      </c>
      <c r="AD94" s="386">
        <f t="shared" si="109"/>
        <v>0</v>
      </c>
      <c r="AE94" s="386">
        <f t="shared" si="110"/>
        <v>0.76244890281888322</v>
      </c>
      <c r="AF94" s="386">
        <f t="shared" si="111"/>
        <v>2.0521781886397732</v>
      </c>
      <c r="AG94" s="386">
        <f t="shared" si="112"/>
        <v>2.4005181312194281E-2</v>
      </c>
      <c r="AH94" s="386">
        <f t="shared" si="113"/>
        <v>0.10199999999999999</v>
      </c>
      <c r="AI94" s="386">
        <f t="shared" si="114"/>
        <v>0.12661305518141844</v>
      </c>
      <c r="AJ94" s="386">
        <f t="shared" si="115"/>
        <v>2.0521781886397723</v>
      </c>
      <c r="AK94" s="386">
        <f t="shared" si="116"/>
        <v>8.0017271040647535E-3</v>
      </c>
      <c r="AL94" s="386">
        <f t="shared" si="117"/>
        <v>5.7488094717986812E-2</v>
      </c>
      <c r="AM94" s="386">
        <f t="shared" si="118"/>
        <v>0</v>
      </c>
      <c r="AN94" s="386">
        <f t="shared" si="119"/>
        <v>6.5594796153705309E-2</v>
      </c>
      <c r="AO94" s="386">
        <f t="shared" si="145"/>
        <v>10.396802705327559</v>
      </c>
      <c r="AP94" s="386">
        <f t="shared" si="120"/>
        <v>0.20537766233766225</v>
      </c>
      <c r="AQ94" s="386">
        <f t="shared" si="121"/>
        <v>0.11333333333333333</v>
      </c>
      <c r="AR94" s="386">
        <f t="shared" si="122"/>
        <v>0.3323629821346743</v>
      </c>
      <c r="AS94" s="386">
        <f t="shared" si="123"/>
        <v>0</v>
      </c>
      <c r="AT94" s="386">
        <f t="shared" si="124"/>
        <v>0</v>
      </c>
      <c r="AU94" s="386">
        <f t="shared" si="125"/>
        <v>0.12943582537499998</v>
      </c>
      <c r="AV94" s="386">
        <f t="shared" si="126"/>
        <v>3.3691482543430552E-2</v>
      </c>
      <c r="AW94" s="386">
        <f t="shared" si="127"/>
        <v>0.59328000000000003</v>
      </c>
      <c r="AX94" s="386">
        <f t="shared" si="128"/>
        <v>3.6000000000000004E-2</v>
      </c>
      <c r="AY94" s="386">
        <f t="shared" si="129"/>
        <v>9.8999999999999977E-2</v>
      </c>
      <c r="AZ94" s="386">
        <f t="shared" si="130"/>
        <v>4.3499999999999997E-2</v>
      </c>
      <c r="BA94" s="386">
        <f t="shared" si="152"/>
        <v>0.13499999999999998</v>
      </c>
      <c r="BB94" s="386">
        <f t="shared" si="153"/>
        <v>2.5744304097804616</v>
      </c>
      <c r="BC94">
        <f t="shared" si="131"/>
        <v>122.39999999999999</v>
      </c>
      <c r="BD94" s="604">
        <f t="shared" si="146"/>
        <v>0.97940034292343547</v>
      </c>
      <c r="BE94" s="614">
        <f t="shared" si="132"/>
        <v>7.5511220450602661</v>
      </c>
      <c r="BF94" s="614">
        <f t="shared" si="133"/>
        <v>18.753840225421214</v>
      </c>
      <c r="BG94" s="9"/>
      <c r="BH94" s="4">
        <f t="shared" si="147"/>
        <v>97.94003429234354</v>
      </c>
      <c r="BI94" s="386">
        <f t="shared" si="148"/>
        <v>0.38789635258633676</v>
      </c>
      <c r="BJ94" s="386">
        <f t="shared" si="149"/>
        <v>1.4164555616636814</v>
      </c>
      <c r="BK94" s="386">
        <f t="shared" si="134"/>
        <v>0.15102244090120531</v>
      </c>
      <c r="BL94" s="386">
        <f t="shared" si="135"/>
        <v>0.37507680450842429</v>
      </c>
      <c r="BM94" s="386">
        <f t="shared" si="150"/>
        <v>3.3691482543430552E-2</v>
      </c>
      <c r="BS94" s="18"/>
      <c r="BT94" s="19"/>
    </row>
    <row r="95" spans="1:72" x14ac:dyDescent="0.2">
      <c r="G95">
        <v>86</v>
      </c>
      <c r="H95" s="610">
        <f t="shared" si="97"/>
        <v>12</v>
      </c>
      <c r="I95" s="4" t="str">
        <f t="shared" si="98"/>
        <v>BUCK-BST</v>
      </c>
      <c r="J95">
        <f t="shared" si="136"/>
        <v>3</v>
      </c>
      <c r="K95" s="386">
        <f t="shared" si="137"/>
        <v>10.32</v>
      </c>
      <c r="L95" s="4">
        <f t="shared" si="99"/>
        <v>11.466666666666667</v>
      </c>
      <c r="M95" s="4">
        <f t="shared" si="151"/>
        <v>10.722077922077922</v>
      </c>
      <c r="N95" s="386">
        <f t="shared" si="100"/>
        <v>0.96250000000000002</v>
      </c>
      <c r="O95" s="386">
        <f t="shared" si="101"/>
        <v>3.7499999999999943E-2</v>
      </c>
      <c r="P95" s="4">
        <f t="shared" si="102"/>
        <v>0</v>
      </c>
      <c r="Q95" s="4">
        <f t="shared" si="103"/>
        <v>10.722077922077922</v>
      </c>
      <c r="R95" s="386">
        <f t="shared" si="138"/>
        <v>0.39736886237273877</v>
      </c>
      <c r="S95" s="386">
        <f t="shared" si="139"/>
        <v>0</v>
      </c>
      <c r="T95" s="386">
        <f t="shared" si="140"/>
        <v>0.39736886237273877</v>
      </c>
      <c r="U95" s="4">
        <f t="shared" si="104"/>
        <v>2.0370184475954431</v>
      </c>
      <c r="V95" s="386">
        <f t="shared" si="141"/>
        <v>8.2988883116882975E-3</v>
      </c>
      <c r="W95" s="386">
        <f t="shared" si="142"/>
        <v>8.2988883116882975E-3</v>
      </c>
      <c r="X95" s="4">
        <f t="shared" si="105"/>
        <v>0</v>
      </c>
      <c r="Y95" s="386">
        <f t="shared" si="143"/>
        <v>0</v>
      </c>
      <c r="Z95" s="603">
        <f t="shared" si="144"/>
        <v>0</v>
      </c>
      <c r="AA95" s="386">
        <f t="shared" si="106"/>
        <v>10.519118031272592</v>
      </c>
      <c r="AB95" s="386">
        <f t="shared" si="107"/>
        <v>0.63071551168831186</v>
      </c>
      <c r="AC95" s="386">
        <f t="shared" si="108"/>
        <v>5.2977954545454543E-2</v>
      </c>
      <c r="AD95" s="386">
        <f t="shared" si="109"/>
        <v>0</v>
      </c>
      <c r="AE95" s="386">
        <f t="shared" si="110"/>
        <v>0.78238607266558269</v>
      </c>
      <c r="AF95" s="386">
        <f t="shared" si="111"/>
        <v>2.0763214614473005</v>
      </c>
      <c r="AG95" s="386">
        <f t="shared" si="112"/>
        <v>2.4573331624219923E-2</v>
      </c>
      <c r="AH95" s="386">
        <f t="shared" si="113"/>
        <v>0.1032</v>
      </c>
      <c r="AI95" s="386">
        <f t="shared" si="114"/>
        <v>0.12840439638710555</v>
      </c>
      <c r="AJ95" s="386">
        <f t="shared" si="115"/>
        <v>2.0763214614472991</v>
      </c>
      <c r="AK95" s="386">
        <f t="shared" si="116"/>
        <v>8.191110541406631E-3</v>
      </c>
      <c r="AL95" s="386">
        <f t="shared" si="117"/>
        <v>5.7488094717986812E-2</v>
      </c>
      <c r="AM95" s="386">
        <f t="shared" si="118"/>
        <v>0</v>
      </c>
      <c r="AN95" s="386">
        <f t="shared" si="119"/>
        <v>6.578697894273447E-2</v>
      </c>
      <c r="AO95" s="386">
        <f t="shared" si="145"/>
        <v>10.519118031272592</v>
      </c>
      <c r="AP95" s="386">
        <f t="shared" si="120"/>
        <v>0.21023850389610393</v>
      </c>
      <c r="AQ95" s="386">
        <f t="shared" si="121"/>
        <v>0.11466666666666667</v>
      </c>
      <c r="AR95" s="386">
        <f t="shared" si="122"/>
        <v>0.3391663351369959</v>
      </c>
      <c r="AS95" s="386">
        <f t="shared" si="123"/>
        <v>0</v>
      </c>
      <c r="AT95" s="386">
        <f t="shared" si="124"/>
        <v>0</v>
      </c>
      <c r="AU95" s="386">
        <f t="shared" si="125"/>
        <v>0.13037161446000001</v>
      </c>
      <c r="AV95" s="386">
        <f t="shared" si="126"/>
        <v>3.4488886490133208E-2</v>
      </c>
      <c r="AW95" s="386">
        <f t="shared" si="127"/>
        <v>0.59328000000000003</v>
      </c>
      <c r="AX95" s="386">
        <f t="shared" si="128"/>
        <v>3.6000000000000004E-2</v>
      </c>
      <c r="AY95" s="386">
        <f t="shared" si="129"/>
        <v>9.8999999999999977E-2</v>
      </c>
      <c r="AZ95" s="386">
        <f t="shared" si="130"/>
        <v>4.3499999999999997E-2</v>
      </c>
      <c r="BA95" s="386">
        <f t="shared" si="152"/>
        <v>0.13499999999999998</v>
      </c>
      <c r="BB95" s="386">
        <f t="shared" si="153"/>
        <v>2.6145520347669788</v>
      </c>
      <c r="BC95">
        <f t="shared" si="131"/>
        <v>123.84</v>
      </c>
      <c r="BD95" s="604">
        <f t="shared" si="146"/>
        <v>0.97932417621432766</v>
      </c>
      <c r="BE95" s="614">
        <f t="shared" si="132"/>
        <v>7.5916122243167239</v>
      </c>
      <c r="BF95" s="614">
        <f t="shared" si="133"/>
        <v>19.109448395439795</v>
      </c>
      <c r="BG95" s="9"/>
      <c r="BH95" s="4">
        <f t="shared" si="147"/>
        <v>97.932417621432762</v>
      </c>
      <c r="BI95" s="386">
        <f t="shared" si="148"/>
        <v>0.39736886237273877</v>
      </c>
      <c r="BJ95" s="386">
        <f t="shared" si="149"/>
        <v>1.4461153975924186</v>
      </c>
      <c r="BK95" s="386">
        <f t="shared" si="134"/>
        <v>0.15183224448633448</v>
      </c>
      <c r="BL95" s="386">
        <f t="shared" si="135"/>
        <v>0.38218896790879592</v>
      </c>
      <c r="BM95" s="386">
        <f t="shared" si="150"/>
        <v>3.4488886490133208E-2</v>
      </c>
      <c r="BS95" s="18"/>
      <c r="BT95" s="19"/>
    </row>
    <row r="96" spans="1:72" x14ac:dyDescent="0.2">
      <c r="G96">
        <v>87</v>
      </c>
      <c r="H96" s="610">
        <f t="shared" si="97"/>
        <v>12</v>
      </c>
      <c r="I96" s="4" t="str">
        <f t="shared" si="98"/>
        <v>BUCK-BST</v>
      </c>
      <c r="J96">
        <f t="shared" si="136"/>
        <v>3</v>
      </c>
      <c r="K96" s="386">
        <f t="shared" si="137"/>
        <v>10.44</v>
      </c>
      <c r="L96" s="4">
        <f t="shared" si="99"/>
        <v>11.6</v>
      </c>
      <c r="M96" s="4">
        <f t="shared" si="151"/>
        <v>10.846753246753247</v>
      </c>
      <c r="N96" s="386">
        <f t="shared" si="100"/>
        <v>0.96250000000000002</v>
      </c>
      <c r="O96" s="386">
        <f t="shared" si="101"/>
        <v>3.7499999999999943E-2</v>
      </c>
      <c r="P96" s="4">
        <f t="shared" si="102"/>
        <v>0</v>
      </c>
      <c r="Q96" s="4">
        <f t="shared" si="103"/>
        <v>10.846753246753247</v>
      </c>
      <c r="R96" s="386">
        <f t="shared" si="138"/>
        <v>0.40696634198372339</v>
      </c>
      <c r="S96" s="386">
        <f t="shared" si="139"/>
        <v>0</v>
      </c>
      <c r="T96" s="386">
        <f t="shared" si="140"/>
        <v>0.40696634198372339</v>
      </c>
      <c r="U96" s="4">
        <f t="shared" si="104"/>
        <v>2.0607047086139949</v>
      </c>
      <c r="V96" s="386">
        <f t="shared" si="141"/>
        <v>8.4930077922077789E-3</v>
      </c>
      <c r="W96" s="386">
        <f t="shared" si="142"/>
        <v>8.4930077922077789E-3</v>
      </c>
      <c r="X96" s="4">
        <f t="shared" si="105"/>
        <v>0</v>
      </c>
      <c r="Y96" s="386">
        <f t="shared" si="143"/>
        <v>0</v>
      </c>
      <c r="Z96" s="603">
        <f t="shared" si="144"/>
        <v>0</v>
      </c>
      <c r="AA96" s="386">
        <f t="shared" si="106"/>
        <v>10.641433357217622</v>
      </c>
      <c r="AB96" s="386">
        <f t="shared" si="107"/>
        <v>0.64546859220779229</v>
      </c>
      <c r="AC96" s="386">
        <f t="shared" si="108"/>
        <v>5.3593977272727265E-2</v>
      </c>
      <c r="AD96" s="386">
        <f t="shared" si="109"/>
        <v>0</v>
      </c>
      <c r="AE96" s="386">
        <f t="shared" si="110"/>
        <v>0.80268403648390674</v>
      </c>
      <c r="AF96" s="386">
        <f t="shared" si="111"/>
        <v>2.1004647342548273</v>
      </c>
      <c r="AG96" s="386">
        <f t="shared" si="112"/>
        <v>2.5148126969134751E-2</v>
      </c>
      <c r="AH96" s="386">
        <f t="shared" si="113"/>
        <v>0.10439999999999999</v>
      </c>
      <c r="AI96" s="386">
        <f t="shared" si="114"/>
        <v>0.13020299928066922</v>
      </c>
      <c r="AJ96" s="386">
        <f t="shared" si="115"/>
        <v>2.1004647342548259</v>
      </c>
      <c r="AK96" s="386">
        <f t="shared" si="116"/>
        <v>8.382708989711574E-3</v>
      </c>
      <c r="AL96" s="386">
        <f t="shared" si="117"/>
        <v>5.7488094717986812E-2</v>
      </c>
      <c r="AM96" s="386">
        <f t="shared" si="118"/>
        <v>0</v>
      </c>
      <c r="AN96" s="386">
        <f t="shared" si="119"/>
        <v>6.5981424323464447E-2</v>
      </c>
      <c r="AO96" s="386">
        <f t="shared" si="145"/>
        <v>10.641433357217622</v>
      </c>
      <c r="AP96" s="386">
        <f t="shared" si="120"/>
        <v>0.21515619740259742</v>
      </c>
      <c r="AQ96" s="386">
        <f t="shared" si="121"/>
        <v>0.11599999999999999</v>
      </c>
      <c r="AR96" s="386">
        <f t="shared" si="122"/>
        <v>0.34604703002304138</v>
      </c>
      <c r="AS96" s="386">
        <f t="shared" si="123"/>
        <v>0</v>
      </c>
      <c r="AT96" s="386">
        <f t="shared" si="124"/>
        <v>0</v>
      </c>
      <c r="AU96" s="386">
        <f t="shared" si="125"/>
        <v>0.13130729581499997</v>
      </c>
      <c r="AV96" s="386">
        <f t="shared" si="126"/>
        <v>3.5295616798785595E-2</v>
      </c>
      <c r="AW96" s="386">
        <f t="shared" si="127"/>
        <v>0.59328000000000003</v>
      </c>
      <c r="AX96" s="386">
        <f t="shared" si="128"/>
        <v>3.6000000000000004E-2</v>
      </c>
      <c r="AY96" s="386">
        <f t="shared" si="129"/>
        <v>9.8999999999999977E-2</v>
      </c>
      <c r="AZ96" s="386">
        <f t="shared" si="130"/>
        <v>4.3499999999999997E-2</v>
      </c>
      <c r="BA96" s="386">
        <f t="shared" si="152"/>
        <v>0.13499999999999998</v>
      </c>
      <c r="BB96" s="386">
        <f t="shared" si="153"/>
        <v>2.6552577525007983</v>
      </c>
      <c r="BC96">
        <f t="shared" si="131"/>
        <v>125.28</v>
      </c>
      <c r="BD96" s="604">
        <f t="shared" si="146"/>
        <v>0.97924530110661467</v>
      </c>
      <c r="BE96" s="614">
        <f t="shared" si="132"/>
        <v>7.6322119780682209</v>
      </c>
      <c r="BF96" s="614">
        <f t="shared" si="133"/>
        <v>19.468921882099568</v>
      </c>
      <c r="BG96" s="9"/>
      <c r="BH96" s="4">
        <f t="shared" si="147"/>
        <v>97.924530110661465</v>
      </c>
      <c r="BI96" s="386">
        <f t="shared" si="148"/>
        <v>0.40696634198372339</v>
      </c>
      <c r="BJ96" s="386">
        <f t="shared" si="149"/>
        <v>1.4762227859260817</v>
      </c>
      <c r="BK96" s="386">
        <f t="shared" si="134"/>
        <v>0.15264423956136441</v>
      </c>
      <c r="BL96" s="386">
        <f t="shared" si="135"/>
        <v>0.38937843764199137</v>
      </c>
      <c r="BM96" s="386">
        <f t="shared" si="150"/>
        <v>3.5295616798785595E-2</v>
      </c>
      <c r="BS96" s="18"/>
      <c r="BT96" s="19"/>
    </row>
    <row r="97" spans="7:72" x14ac:dyDescent="0.2">
      <c r="G97">
        <v>88</v>
      </c>
      <c r="H97" s="610">
        <f t="shared" si="97"/>
        <v>12</v>
      </c>
      <c r="I97" s="4" t="str">
        <f t="shared" si="98"/>
        <v>BUCK-BST</v>
      </c>
      <c r="J97">
        <f t="shared" si="136"/>
        <v>3</v>
      </c>
      <c r="K97" s="386">
        <f t="shared" si="137"/>
        <v>10.56</v>
      </c>
      <c r="L97" s="4">
        <f t="shared" si="99"/>
        <v>11.733333333333333</v>
      </c>
      <c r="M97" s="4">
        <f t="shared" si="151"/>
        <v>10.971428571428572</v>
      </c>
      <c r="N97" s="386">
        <f t="shared" si="100"/>
        <v>0.96250000000000002</v>
      </c>
      <c r="O97" s="386">
        <f t="shared" si="101"/>
        <v>3.7499999999999943E-2</v>
      </c>
      <c r="P97" s="4">
        <f t="shared" si="102"/>
        <v>0</v>
      </c>
      <c r="Q97" s="4">
        <f t="shared" si="103"/>
        <v>10.971428571428572</v>
      </c>
      <c r="R97" s="386">
        <f t="shared" si="138"/>
        <v>0.41668931849777413</v>
      </c>
      <c r="S97" s="386">
        <f t="shared" si="139"/>
        <v>0</v>
      </c>
      <c r="T97" s="386">
        <f t="shared" si="140"/>
        <v>0.41668931849777413</v>
      </c>
      <c r="U97" s="4">
        <f t="shared" si="104"/>
        <v>2.0843909696325467</v>
      </c>
      <c r="V97" s="386">
        <f t="shared" si="141"/>
        <v>8.6893714285714158E-3</v>
      </c>
      <c r="W97" s="386">
        <f t="shared" si="142"/>
        <v>8.6893714285714158E-3</v>
      </c>
      <c r="X97" s="4">
        <f t="shared" si="105"/>
        <v>0</v>
      </c>
      <c r="Y97" s="386">
        <f t="shared" si="143"/>
        <v>0</v>
      </c>
      <c r="Z97" s="603">
        <f t="shared" si="144"/>
        <v>0</v>
      </c>
      <c r="AA97" s="386">
        <f t="shared" si="106"/>
        <v>10.763748683162651</v>
      </c>
      <c r="AB97" s="386">
        <f t="shared" si="107"/>
        <v>0.66039222857142854</v>
      </c>
      <c r="AC97" s="386">
        <f t="shared" si="108"/>
        <v>5.4209999999999994E-2</v>
      </c>
      <c r="AD97" s="386">
        <f t="shared" si="109"/>
        <v>0</v>
      </c>
      <c r="AE97" s="386">
        <f t="shared" si="110"/>
        <v>0.82334886723666501</v>
      </c>
      <c r="AF97" s="386">
        <f t="shared" si="111"/>
        <v>2.1246080070623541</v>
      </c>
      <c r="AG97" s="386">
        <f t="shared" si="112"/>
        <v>2.5729567346938771E-2</v>
      </c>
      <c r="AH97" s="386">
        <f t="shared" si="113"/>
        <v>0.10560000000000001</v>
      </c>
      <c r="AI97" s="386">
        <f t="shared" si="114"/>
        <v>0.13200887358761199</v>
      </c>
      <c r="AJ97" s="386">
        <f t="shared" si="115"/>
        <v>2.1246080070623528</v>
      </c>
      <c r="AK97" s="386">
        <f t="shared" si="116"/>
        <v>8.5765224489795771E-3</v>
      </c>
      <c r="AL97" s="386">
        <f t="shared" si="117"/>
        <v>5.7488094717986812E-2</v>
      </c>
      <c r="AM97" s="386">
        <f t="shared" si="118"/>
        <v>0</v>
      </c>
      <c r="AN97" s="386">
        <f t="shared" si="119"/>
        <v>6.6178132815310806E-2</v>
      </c>
      <c r="AO97" s="386">
        <f t="shared" si="145"/>
        <v>10.763748683162651</v>
      </c>
      <c r="AP97" s="386">
        <f t="shared" si="120"/>
        <v>0.22013074285714285</v>
      </c>
      <c r="AQ97" s="386">
        <f t="shared" si="121"/>
        <v>0.11733333333333333</v>
      </c>
      <c r="AR97" s="386">
        <f t="shared" si="122"/>
        <v>0.35300555102650827</v>
      </c>
      <c r="AS97" s="386">
        <f t="shared" si="123"/>
        <v>0</v>
      </c>
      <c r="AT97" s="386">
        <f t="shared" si="124"/>
        <v>0</v>
      </c>
      <c r="AU97" s="386">
        <f t="shared" si="125"/>
        <v>0.13224286943999997</v>
      </c>
      <c r="AV97" s="386">
        <f t="shared" si="126"/>
        <v>3.6111673469387727E-2</v>
      </c>
      <c r="AW97" s="386">
        <f t="shared" si="127"/>
        <v>0.59328000000000003</v>
      </c>
      <c r="AX97" s="386">
        <f t="shared" si="128"/>
        <v>3.6000000000000004E-2</v>
      </c>
      <c r="AY97" s="386">
        <f t="shared" si="129"/>
        <v>9.8999999999999977E-2</v>
      </c>
      <c r="AZ97" s="386">
        <f t="shared" si="130"/>
        <v>4.3499999999999997E-2</v>
      </c>
      <c r="BA97" s="386">
        <f t="shared" si="152"/>
        <v>0.13499999999999998</v>
      </c>
      <c r="BB97" s="386">
        <f t="shared" si="153"/>
        <v>2.6965546575018293</v>
      </c>
      <c r="BC97">
        <f t="shared" si="131"/>
        <v>126.72</v>
      </c>
      <c r="BD97" s="604">
        <f t="shared" si="146"/>
        <v>0.97916375795478261</v>
      </c>
      <c r="BE97" s="614">
        <f t="shared" si="132"/>
        <v>7.6729213322855401</v>
      </c>
      <c r="BF97" s="614">
        <f t="shared" si="133"/>
        <v>19.832284897085412</v>
      </c>
      <c r="BG97" s="9"/>
      <c r="BH97" s="4">
        <f t="shared" si="147"/>
        <v>97.91637579547826</v>
      </c>
      <c r="BI97" s="386">
        <f t="shared" si="148"/>
        <v>0.41668931849777413</v>
      </c>
      <c r="BJ97" s="386">
        <f t="shared" si="149"/>
        <v>1.506784294106096</v>
      </c>
      <c r="BK97" s="386">
        <f t="shared" si="134"/>
        <v>0.1534584266457108</v>
      </c>
      <c r="BL97" s="386">
        <f t="shared" si="135"/>
        <v>0.39664569794170823</v>
      </c>
      <c r="BM97" s="386">
        <f t="shared" si="150"/>
        <v>3.6111673469387727E-2</v>
      </c>
      <c r="BS97" s="18"/>
      <c r="BT97" s="19"/>
    </row>
    <row r="98" spans="7:72" x14ac:dyDescent="0.2">
      <c r="G98">
        <v>89</v>
      </c>
      <c r="H98" s="610">
        <f t="shared" si="97"/>
        <v>12</v>
      </c>
      <c r="I98" s="4" t="str">
        <f t="shared" si="98"/>
        <v>BUCK-BST</v>
      </c>
      <c r="J98">
        <f t="shared" si="136"/>
        <v>3</v>
      </c>
      <c r="K98" s="386">
        <f t="shared" si="137"/>
        <v>10.68</v>
      </c>
      <c r="L98" s="4">
        <f t="shared" si="99"/>
        <v>11.866666666666665</v>
      </c>
      <c r="M98" s="4">
        <f t="shared" si="151"/>
        <v>11.096103896103896</v>
      </c>
      <c r="N98" s="386">
        <f t="shared" si="100"/>
        <v>0.96250000000000002</v>
      </c>
      <c r="O98" s="386">
        <f t="shared" si="101"/>
        <v>3.7499999999999943E-2</v>
      </c>
      <c r="P98" s="4">
        <f t="shared" si="102"/>
        <v>0</v>
      </c>
      <c r="Q98" s="4">
        <f t="shared" si="103"/>
        <v>11.096103896103896</v>
      </c>
      <c r="R98" s="386">
        <f t="shared" si="138"/>
        <v>0.42653832706129496</v>
      </c>
      <c r="S98" s="386">
        <f t="shared" si="139"/>
        <v>0</v>
      </c>
      <c r="T98" s="386">
        <f t="shared" si="140"/>
        <v>0.42653832706129496</v>
      </c>
      <c r="U98" s="4">
        <f t="shared" si="104"/>
        <v>2.108077230651098</v>
      </c>
      <c r="V98" s="386">
        <f t="shared" si="141"/>
        <v>8.8879792207792047E-3</v>
      </c>
      <c r="W98" s="386">
        <f t="shared" si="142"/>
        <v>8.8879792207792047E-3</v>
      </c>
      <c r="X98" s="4">
        <f t="shared" si="105"/>
        <v>0</v>
      </c>
      <c r="Y98" s="386">
        <f t="shared" si="143"/>
        <v>0</v>
      </c>
      <c r="Z98" s="603">
        <f t="shared" si="144"/>
        <v>0</v>
      </c>
      <c r="AA98" s="386">
        <f t="shared" si="106"/>
        <v>10.886064009107683</v>
      </c>
      <c r="AB98" s="386">
        <f t="shared" si="107"/>
        <v>0.67548642077922094</v>
      </c>
      <c r="AC98" s="386">
        <f t="shared" si="108"/>
        <v>5.4826022727272723E-2</v>
      </c>
      <c r="AD98" s="386">
        <f t="shared" si="109"/>
        <v>0</v>
      </c>
      <c r="AE98" s="386">
        <f t="shared" si="110"/>
        <v>0.84438680805123811</v>
      </c>
      <c r="AF98" s="386">
        <f t="shared" si="111"/>
        <v>2.1487512798698805</v>
      </c>
      <c r="AG98" s="386">
        <f t="shared" si="112"/>
        <v>2.6317652757631961E-2</v>
      </c>
      <c r="AH98" s="386">
        <f t="shared" si="113"/>
        <v>0.10680000000000001</v>
      </c>
      <c r="AI98" s="386">
        <f t="shared" si="114"/>
        <v>0.13382202909624732</v>
      </c>
      <c r="AJ98" s="386">
        <f t="shared" si="115"/>
        <v>2.1487512798698796</v>
      </c>
      <c r="AK98" s="386">
        <f t="shared" si="116"/>
        <v>8.7725509192106473E-3</v>
      </c>
      <c r="AL98" s="386">
        <f t="shared" si="117"/>
        <v>5.7488094717986812E-2</v>
      </c>
      <c r="AM98" s="386">
        <f t="shared" si="118"/>
        <v>0</v>
      </c>
      <c r="AN98" s="386">
        <f t="shared" si="119"/>
        <v>6.6377104943795298E-2</v>
      </c>
      <c r="AO98" s="386">
        <f t="shared" si="145"/>
        <v>10.886064009107683</v>
      </c>
      <c r="AP98" s="386">
        <f t="shared" si="120"/>
        <v>0.2251621402597403</v>
      </c>
      <c r="AQ98" s="386">
        <f t="shared" si="121"/>
        <v>0.11866666666666666</v>
      </c>
      <c r="AR98" s="386">
        <f t="shared" si="122"/>
        <v>0.36004238994736298</v>
      </c>
      <c r="AS98" s="386">
        <f t="shared" si="123"/>
        <v>0</v>
      </c>
      <c r="AT98" s="386">
        <f t="shared" si="124"/>
        <v>0</v>
      </c>
      <c r="AU98" s="386">
        <f t="shared" si="125"/>
        <v>0.13317833533500001</v>
      </c>
      <c r="AV98" s="386">
        <f t="shared" si="126"/>
        <v>3.6937056501939583E-2</v>
      </c>
      <c r="AW98" s="386">
        <f t="shared" si="127"/>
        <v>0.59328000000000003</v>
      </c>
      <c r="AX98" s="386">
        <f t="shared" si="128"/>
        <v>3.6000000000000004E-2</v>
      </c>
      <c r="AY98" s="386">
        <f t="shared" si="129"/>
        <v>9.8999999999999977E-2</v>
      </c>
      <c r="AZ98" s="386">
        <f t="shared" si="130"/>
        <v>4.3499999999999997E-2</v>
      </c>
      <c r="BA98" s="386">
        <f t="shared" si="152"/>
        <v>0.13499999999999998</v>
      </c>
      <c r="BB98" s="386">
        <f t="shared" si="153"/>
        <v>2.7384500301576575</v>
      </c>
      <c r="BC98">
        <f t="shared" si="131"/>
        <v>128.16</v>
      </c>
      <c r="BD98" s="604">
        <f t="shared" si="146"/>
        <v>0.97907958398646633</v>
      </c>
      <c r="BE98" s="614">
        <f t="shared" si="132"/>
        <v>7.7137403132447657</v>
      </c>
      <c r="BF98" s="614">
        <f t="shared" si="133"/>
        <v>20.199562030395647</v>
      </c>
      <c r="BG98" s="9"/>
      <c r="BH98" s="4">
        <f t="shared" si="147"/>
        <v>97.907958398646628</v>
      </c>
      <c r="BI98" s="386">
        <f t="shared" si="148"/>
        <v>0.42653832706129496</v>
      </c>
      <c r="BJ98" s="386">
        <f t="shared" si="149"/>
        <v>1.5378066673736437</v>
      </c>
      <c r="BK98" s="386">
        <f t="shared" si="134"/>
        <v>0.15427480626489531</v>
      </c>
      <c r="BL98" s="386">
        <f t="shared" si="135"/>
        <v>0.40399124060791297</v>
      </c>
      <c r="BM98" s="386">
        <f t="shared" si="150"/>
        <v>3.6937056501939583E-2</v>
      </c>
      <c r="BS98" s="18"/>
      <c r="BT98" s="19"/>
    </row>
    <row r="99" spans="7:72" x14ac:dyDescent="0.2">
      <c r="G99">
        <v>90</v>
      </c>
      <c r="H99" s="610">
        <f t="shared" si="97"/>
        <v>12</v>
      </c>
      <c r="I99" s="4" t="str">
        <f t="shared" si="98"/>
        <v>BUCK-BST</v>
      </c>
      <c r="J99">
        <f t="shared" si="136"/>
        <v>3</v>
      </c>
      <c r="K99" s="386">
        <f t="shared" si="137"/>
        <v>10.8</v>
      </c>
      <c r="L99" s="4">
        <f t="shared" si="99"/>
        <v>12.000000000000002</v>
      </c>
      <c r="M99" s="4">
        <f t="shared" si="151"/>
        <v>11.220779220779221</v>
      </c>
      <c r="N99" s="386">
        <f t="shared" si="100"/>
        <v>0.96250000000000002</v>
      </c>
      <c r="O99" s="386">
        <f t="shared" si="101"/>
        <v>3.7499999999999943E-2</v>
      </c>
      <c r="P99" s="4">
        <f t="shared" si="102"/>
        <v>0</v>
      </c>
      <c r="Q99" s="4">
        <f t="shared" si="103"/>
        <v>11.220779220779221</v>
      </c>
      <c r="R99" s="386">
        <f t="shared" si="138"/>
        <v>0.43651391096518893</v>
      </c>
      <c r="S99" s="386">
        <f t="shared" si="139"/>
        <v>0</v>
      </c>
      <c r="T99" s="386">
        <f t="shared" si="140"/>
        <v>0.43651391096518893</v>
      </c>
      <c r="U99" s="4">
        <f t="shared" si="104"/>
        <v>2.1317634916696502</v>
      </c>
      <c r="V99" s="386">
        <f t="shared" si="141"/>
        <v>9.0888311688311577E-3</v>
      </c>
      <c r="W99" s="386">
        <f t="shared" si="142"/>
        <v>9.0888311688311577E-3</v>
      </c>
      <c r="X99" s="4">
        <f t="shared" si="105"/>
        <v>0</v>
      </c>
      <c r="Y99" s="386">
        <f t="shared" si="143"/>
        <v>0</v>
      </c>
      <c r="Z99" s="603">
        <f t="shared" si="144"/>
        <v>0</v>
      </c>
      <c r="AA99" s="386">
        <f t="shared" si="106"/>
        <v>11.008379335052712</v>
      </c>
      <c r="AB99" s="386">
        <f t="shared" si="107"/>
        <v>0.69075116883116894</v>
      </c>
      <c r="AC99" s="386">
        <f t="shared" si="108"/>
        <v>5.5442045454545459E-2</v>
      </c>
      <c r="AD99" s="386">
        <f t="shared" si="109"/>
        <v>0</v>
      </c>
      <c r="AE99" s="386">
        <f t="shared" si="110"/>
        <v>0.86580427763708256</v>
      </c>
      <c r="AF99" s="386">
        <f t="shared" si="111"/>
        <v>2.1728945526774073</v>
      </c>
      <c r="AG99" s="386">
        <f t="shared" si="112"/>
        <v>2.6912383201214359E-2</v>
      </c>
      <c r="AH99" s="386">
        <f t="shared" si="113"/>
        <v>0.10800000000000001</v>
      </c>
      <c r="AI99" s="386">
        <f t="shared" si="114"/>
        <v>0.13564247565786755</v>
      </c>
      <c r="AJ99" s="386">
        <f t="shared" si="115"/>
        <v>2.1728945526774059</v>
      </c>
      <c r="AK99" s="386">
        <f t="shared" si="116"/>
        <v>8.9707944004047743E-3</v>
      </c>
      <c r="AL99" s="386">
        <f t="shared" si="117"/>
        <v>5.7488094717986812E-2</v>
      </c>
      <c r="AM99" s="386">
        <f t="shared" si="118"/>
        <v>0</v>
      </c>
      <c r="AN99" s="386">
        <f t="shared" si="119"/>
        <v>6.6578341240549371E-2</v>
      </c>
      <c r="AO99" s="386">
        <f t="shared" si="145"/>
        <v>11.008379335052712</v>
      </c>
      <c r="AP99" s="386">
        <f t="shared" si="120"/>
        <v>0.23025038961038966</v>
      </c>
      <c r="AQ99" s="386">
        <f t="shared" si="121"/>
        <v>0.12000000000000002</v>
      </c>
      <c r="AR99" s="386">
        <f t="shared" si="122"/>
        <v>0.36715804624991621</v>
      </c>
      <c r="AS99" s="386">
        <f t="shared" si="123"/>
        <v>0</v>
      </c>
      <c r="AT99" s="386">
        <f t="shared" si="124"/>
        <v>0</v>
      </c>
      <c r="AU99" s="386">
        <f t="shared" si="125"/>
        <v>0.13411369349999999</v>
      </c>
      <c r="AV99" s="386">
        <f t="shared" si="126"/>
        <v>3.7771765896441184E-2</v>
      </c>
      <c r="AW99" s="386">
        <f t="shared" si="127"/>
        <v>0.59328000000000003</v>
      </c>
      <c r="AX99" s="386">
        <f t="shared" si="128"/>
        <v>3.6000000000000004E-2</v>
      </c>
      <c r="AY99" s="386">
        <f t="shared" si="129"/>
        <v>9.8999999999999977E-2</v>
      </c>
      <c r="AZ99" s="386">
        <f t="shared" si="130"/>
        <v>4.3499999999999997E-2</v>
      </c>
      <c r="BA99" s="386">
        <f t="shared" si="152"/>
        <v>0.13499999999999998</v>
      </c>
      <c r="BB99" s="386">
        <f t="shared" si="153"/>
        <v>2.7809513423158765</v>
      </c>
      <c r="BC99">
        <f t="shared" si="131"/>
        <v>129.60000000000002</v>
      </c>
      <c r="BD99" s="604">
        <f t="shared" si="146"/>
        <v>0.97899281343639244</v>
      </c>
      <c r="BE99" s="614">
        <f t="shared" si="132"/>
        <v>7.7546689475274686</v>
      </c>
      <c r="BF99" s="614">
        <f t="shared" si="133"/>
        <v>20.570778255245813</v>
      </c>
      <c r="BG99" s="9"/>
      <c r="BH99" s="4">
        <f t="shared" si="147"/>
        <v>97.899281343639245</v>
      </c>
      <c r="BI99" s="386">
        <f t="shared" si="148"/>
        <v>0.43651391096518893</v>
      </c>
      <c r="BJ99" s="386">
        <f t="shared" si="149"/>
        <v>1.5692968342854157</v>
      </c>
      <c r="BK99" s="386">
        <f t="shared" si="134"/>
        <v>0.15509337895054937</v>
      </c>
      <c r="BL99" s="386">
        <f t="shared" si="135"/>
        <v>0.41141556510491623</v>
      </c>
      <c r="BM99" s="386">
        <f t="shared" si="150"/>
        <v>3.7771765896441184E-2</v>
      </c>
      <c r="BS99" s="18"/>
      <c r="BT99" s="19"/>
    </row>
    <row r="100" spans="7:72" x14ac:dyDescent="0.2">
      <c r="G100">
        <v>91</v>
      </c>
      <c r="H100" s="610">
        <f t="shared" si="97"/>
        <v>12</v>
      </c>
      <c r="I100" s="4" t="str">
        <f t="shared" si="98"/>
        <v>BUCK-BST</v>
      </c>
      <c r="J100">
        <f t="shared" si="136"/>
        <v>3</v>
      </c>
      <c r="K100" s="386">
        <f t="shared" si="137"/>
        <v>10.92</v>
      </c>
      <c r="L100" s="4">
        <f t="shared" si="99"/>
        <v>12.133333333333331</v>
      </c>
      <c r="M100" s="4">
        <f t="shared" si="151"/>
        <v>11.345454545454546</v>
      </c>
      <c r="N100" s="386">
        <f t="shared" si="100"/>
        <v>0.96250000000000002</v>
      </c>
      <c r="O100" s="386">
        <f t="shared" si="101"/>
        <v>3.7499999999999943E-2</v>
      </c>
      <c r="P100" s="4">
        <f t="shared" si="102"/>
        <v>0</v>
      </c>
      <c r="Q100" s="4">
        <f t="shared" si="103"/>
        <v>11.345454545454546</v>
      </c>
      <c r="R100" s="386">
        <f t="shared" si="138"/>
        <v>0.44661662172283884</v>
      </c>
      <c r="S100" s="386">
        <f t="shared" si="139"/>
        <v>0</v>
      </c>
      <c r="T100" s="386">
        <f t="shared" si="140"/>
        <v>0.44661662172283884</v>
      </c>
      <c r="U100" s="4">
        <f t="shared" si="104"/>
        <v>2.1554497526882015</v>
      </c>
      <c r="V100" s="386">
        <f t="shared" si="141"/>
        <v>9.2919272727272594E-3</v>
      </c>
      <c r="W100" s="386">
        <f t="shared" si="142"/>
        <v>9.2919272727272594E-3</v>
      </c>
      <c r="X100" s="4">
        <f t="shared" si="105"/>
        <v>0</v>
      </c>
      <c r="Y100" s="386">
        <f t="shared" si="143"/>
        <v>0</v>
      </c>
      <c r="Z100" s="603">
        <f t="shared" si="144"/>
        <v>0</v>
      </c>
      <c r="AA100" s="386">
        <f t="shared" si="106"/>
        <v>11.130694660997742</v>
      </c>
      <c r="AB100" s="386">
        <f t="shared" si="107"/>
        <v>0.70618647272727275</v>
      </c>
      <c r="AC100" s="386">
        <f t="shared" si="108"/>
        <v>5.6058068181818167E-2</v>
      </c>
      <c r="AD100" s="386">
        <f t="shared" si="109"/>
        <v>0</v>
      </c>
      <c r="AE100" s="386">
        <f t="shared" si="110"/>
        <v>0.88760787592147794</v>
      </c>
      <c r="AF100" s="386">
        <f t="shared" si="111"/>
        <v>2.1970378254849341</v>
      </c>
      <c r="AG100" s="386">
        <f t="shared" si="112"/>
        <v>2.7513758677685938E-2</v>
      </c>
      <c r="AH100" s="386">
        <f t="shared" si="113"/>
        <v>0.10920000000000001</v>
      </c>
      <c r="AI100" s="386">
        <f t="shared" si="114"/>
        <v>0.1374702231869124</v>
      </c>
      <c r="AJ100" s="386">
        <f t="shared" si="115"/>
        <v>2.1970378254849328</v>
      </c>
      <c r="AK100" s="386">
        <f t="shared" si="116"/>
        <v>9.1712528925619666E-3</v>
      </c>
      <c r="AL100" s="386">
        <f t="shared" si="117"/>
        <v>5.7488094717986812E-2</v>
      </c>
      <c r="AM100" s="386">
        <f t="shared" si="118"/>
        <v>0</v>
      </c>
      <c r="AN100" s="386">
        <f t="shared" si="119"/>
        <v>6.6781842243317721E-2</v>
      </c>
      <c r="AO100" s="386">
        <f t="shared" si="145"/>
        <v>11.130694660997742</v>
      </c>
      <c r="AP100" s="386">
        <f t="shared" si="120"/>
        <v>0.23539549090909093</v>
      </c>
      <c r="AQ100" s="386">
        <f t="shared" si="121"/>
        <v>0.12133333333333331</v>
      </c>
      <c r="AR100" s="386">
        <f t="shared" si="122"/>
        <v>0.37435302716288665</v>
      </c>
      <c r="AS100" s="386">
        <f t="shared" si="123"/>
        <v>0</v>
      </c>
      <c r="AT100" s="386">
        <f t="shared" si="124"/>
        <v>0</v>
      </c>
      <c r="AU100" s="386">
        <f t="shared" si="125"/>
        <v>0.135048943935</v>
      </c>
      <c r="AV100" s="386">
        <f t="shared" si="126"/>
        <v>3.8615801652892516E-2</v>
      </c>
      <c r="AW100" s="386">
        <f t="shared" si="127"/>
        <v>0.59328000000000003</v>
      </c>
      <c r="AX100" s="386">
        <f t="shared" si="128"/>
        <v>3.6000000000000004E-2</v>
      </c>
      <c r="AY100" s="386">
        <f t="shared" si="129"/>
        <v>9.8999999999999977E-2</v>
      </c>
      <c r="AZ100" s="386">
        <f t="shared" si="130"/>
        <v>4.3499999999999997E-2</v>
      </c>
      <c r="BA100" s="386">
        <f t="shared" si="152"/>
        <v>0.13499999999999998</v>
      </c>
      <c r="BB100" s="386">
        <f t="shared" si="153"/>
        <v>2.8240662630980529</v>
      </c>
      <c r="BC100">
        <f t="shared" si="131"/>
        <v>131.04</v>
      </c>
      <c r="BD100" s="604">
        <f t="shared" si="146"/>
        <v>0.97890347767004482</v>
      </c>
      <c r="BE100" s="614">
        <f t="shared" si="132"/>
        <v>7.7957072620208869</v>
      </c>
      <c r="BF100" s="614">
        <f t="shared" si="133"/>
        <v>20.945958933071836</v>
      </c>
      <c r="BG100" s="9"/>
      <c r="BH100" s="4">
        <f t="shared" si="147"/>
        <v>97.890347767004485</v>
      </c>
      <c r="BI100" s="386">
        <f t="shared" si="148"/>
        <v>0.44661662172283884</v>
      </c>
      <c r="BJ100" s="386">
        <f t="shared" si="149"/>
        <v>1.6012619124495948</v>
      </c>
      <c r="BK100" s="386">
        <f t="shared" si="134"/>
        <v>0.15591414524041775</v>
      </c>
      <c r="BL100" s="386">
        <f t="shared" si="135"/>
        <v>0.41891917866143669</v>
      </c>
      <c r="BM100" s="386">
        <f t="shared" si="150"/>
        <v>3.8615801652892516E-2</v>
      </c>
      <c r="BS100" s="18"/>
      <c r="BT100" s="19"/>
    </row>
    <row r="101" spans="7:72" x14ac:dyDescent="0.2">
      <c r="G101">
        <v>92</v>
      </c>
      <c r="H101" s="610">
        <f t="shared" si="97"/>
        <v>12</v>
      </c>
      <c r="I101" s="4" t="str">
        <f t="shared" si="98"/>
        <v>BUCK-BST</v>
      </c>
      <c r="J101">
        <f t="shared" si="136"/>
        <v>3</v>
      </c>
      <c r="K101" s="386">
        <f t="shared" si="137"/>
        <v>11.04</v>
      </c>
      <c r="L101" s="4">
        <f t="shared" si="99"/>
        <v>12.266666666666666</v>
      </c>
      <c r="M101" s="4">
        <f t="shared" si="151"/>
        <v>11.470129870129869</v>
      </c>
      <c r="N101" s="386">
        <f t="shared" si="100"/>
        <v>0.96250000000000002</v>
      </c>
      <c r="O101" s="386">
        <f t="shared" si="101"/>
        <v>3.7499999999999943E-2</v>
      </c>
      <c r="P101" s="4">
        <f t="shared" si="102"/>
        <v>0</v>
      </c>
      <c r="Q101" s="4">
        <f t="shared" si="103"/>
        <v>11.470129870129869</v>
      </c>
      <c r="R101" s="386">
        <f t="shared" si="138"/>
        <v>0.45684701914951276</v>
      </c>
      <c r="S101" s="386">
        <f t="shared" si="139"/>
        <v>0</v>
      </c>
      <c r="T101" s="386">
        <f t="shared" si="140"/>
        <v>0.45684701914951276</v>
      </c>
      <c r="U101" s="4">
        <f t="shared" si="104"/>
        <v>2.1791360137067532</v>
      </c>
      <c r="V101" s="386">
        <f t="shared" si="141"/>
        <v>9.4972675324675182E-3</v>
      </c>
      <c r="W101" s="386">
        <f t="shared" si="142"/>
        <v>9.4972675324675182E-3</v>
      </c>
      <c r="X101" s="4">
        <f t="shared" si="105"/>
        <v>0</v>
      </c>
      <c r="Y101" s="386">
        <f t="shared" si="143"/>
        <v>0</v>
      </c>
      <c r="Z101" s="603">
        <f t="shared" si="144"/>
        <v>0</v>
      </c>
      <c r="AA101" s="386">
        <f t="shared" si="106"/>
        <v>11.253009986942772</v>
      </c>
      <c r="AB101" s="386">
        <f t="shared" si="107"/>
        <v>0.72179233246753249</v>
      </c>
      <c r="AC101" s="386">
        <f t="shared" si="108"/>
        <v>5.6674090909090896E-2</v>
      </c>
      <c r="AD101" s="386">
        <f t="shared" si="109"/>
        <v>0</v>
      </c>
      <c r="AE101" s="386">
        <f t="shared" si="110"/>
        <v>0.90980438991361279</v>
      </c>
      <c r="AF101" s="386">
        <f t="shared" si="111"/>
        <v>2.2211810982924605</v>
      </c>
      <c r="AG101" s="386">
        <f t="shared" si="112"/>
        <v>2.8121779187046697E-2</v>
      </c>
      <c r="AH101" s="386">
        <f t="shared" si="113"/>
        <v>0.1104</v>
      </c>
      <c r="AI101" s="386">
        <f t="shared" si="114"/>
        <v>0.13930528166113948</v>
      </c>
      <c r="AJ101" s="386">
        <f t="shared" si="115"/>
        <v>2.2211810982924591</v>
      </c>
      <c r="AK101" s="386">
        <f t="shared" si="116"/>
        <v>9.3739263956822208E-3</v>
      </c>
      <c r="AL101" s="386">
        <f t="shared" si="117"/>
        <v>5.7488094717986812E-2</v>
      </c>
      <c r="AM101" s="386">
        <f t="shared" si="118"/>
        <v>0</v>
      </c>
      <c r="AN101" s="386">
        <f t="shared" si="119"/>
        <v>6.6987608495961817E-2</v>
      </c>
      <c r="AO101" s="386">
        <f t="shared" si="145"/>
        <v>11.253009986942772</v>
      </c>
      <c r="AP101" s="386">
        <f t="shared" si="120"/>
        <v>0.24059744415584414</v>
      </c>
      <c r="AQ101" s="386">
        <f t="shared" si="121"/>
        <v>0.12266666666666666</v>
      </c>
      <c r="AR101" s="386">
        <f t="shared" si="122"/>
        <v>0.38162784778149544</v>
      </c>
      <c r="AS101" s="386">
        <f t="shared" si="123"/>
        <v>0</v>
      </c>
      <c r="AT101" s="386">
        <f t="shared" si="124"/>
        <v>0</v>
      </c>
      <c r="AU101" s="386">
        <f t="shared" si="125"/>
        <v>0.13598408663999997</v>
      </c>
      <c r="AV101" s="386">
        <f t="shared" si="126"/>
        <v>3.9469163771293579E-2</v>
      </c>
      <c r="AW101" s="386">
        <f t="shared" si="127"/>
        <v>0.59328000000000003</v>
      </c>
      <c r="AX101" s="386">
        <f t="shared" si="128"/>
        <v>3.6000000000000004E-2</v>
      </c>
      <c r="AY101" s="386">
        <f t="shared" si="129"/>
        <v>9.8999999999999977E-2</v>
      </c>
      <c r="AZ101" s="386">
        <f t="shared" si="130"/>
        <v>4.3499999999999997E-2</v>
      </c>
      <c r="BA101" s="386">
        <f t="shared" si="152"/>
        <v>0.13499999999999998</v>
      </c>
      <c r="BB101" s="386">
        <f t="shared" si="153"/>
        <v>2.8678026649454829</v>
      </c>
      <c r="BC101">
        <f t="shared" si="131"/>
        <v>132.47999999999999</v>
      </c>
      <c r="BD101" s="604">
        <f t="shared" si="146"/>
        <v>0.97881160529776201</v>
      </c>
      <c r="BE101" s="614">
        <f t="shared" si="132"/>
        <v>7.8368552839180898</v>
      </c>
      <c r="BF101" s="614">
        <f t="shared" si="133"/>
        <v>21.325129818634771</v>
      </c>
      <c r="BG101" s="9"/>
      <c r="BH101" s="4">
        <f t="shared" si="147"/>
        <v>97.881160529776196</v>
      </c>
      <c r="BI101" s="386">
        <f t="shared" si="148"/>
        <v>0.45684701914951276</v>
      </c>
      <c r="BJ101" s="386">
        <f t="shared" si="149"/>
        <v>1.6337092144922094</v>
      </c>
      <c r="BK101" s="386">
        <f t="shared" si="134"/>
        <v>0.1567371056783618</v>
      </c>
      <c r="BL101" s="386">
        <f t="shared" si="135"/>
        <v>0.42650259637269544</v>
      </c>
      <c r="BM101" s="386">
        <f t="shared" si="150"/>
        <v>3.9469163771293579E-2</v>
      </c>
      <c r="BS101" s="18"/>
      <c r="BT101" s="19"/>
    </row>
    <row r="102" spans="7:72" x14ac:dyDescent="0.2">
      <c r="G102">
        <v>93</v>
      </c>
      <c r="H102" s="610">
        <f t="shared" si="97"/>
        <v>12</v>
      </c>
      <c r="I102" s="4" t="str">
        <f t="shared" si="98"/>
        <v>BUCK-BST</v>
      </c>
      <c r="J102">
        <f t="shared" si="136"/>
        <v>3</v>
      </c>
      <c r="K102" s="386">
        <f t="shared" si="137"/>
        <v>11.16</v>
      </c>
      <c r="L102" s="4">
        <f t="shared" si="99"/>
        <v>12.4</v>
      </c>
      <c r="M102" s="4">
        <f t="shared" si="151"/>
        <v>11.594805194805195</v>
      </c>
      <c r="N102" s="386">
        <f t="shared" si="100"/>
        <v>0.96250000000000002</v>
      </c>
      <c r="O102" s="386">
        <f t="shared" si="101"/>
        <v>3.7499999999999943E-2</v>
      </c>
      <c r="P102" s="4">
        <f t="shared" si="102"/>
        <v>0</v>
      </c>
      <c r="Q102" s="4">
        <f t="shared" si="103"/>
        <v>11.594805194805195</v>
      </c>
      <c r="R102" s="386">
        <f t="shared" si="138"/>
        <v>0.4672056714432184</v>
      </c>
      <c r="S102" s="386">
        <f t="shared" si="139"/>
        <v>0</v>
      </c>
      <c r="T102" s="386">
        <f t="shared" si="140"/>
        <v>0.4672056714432184</v>
      </c>
      <c r="U102" s="4">
        <f t="shared" si="104"/>
        <v>2.202822274725305</v>
      </c>
      <c r="V102" s="386">
        <f t="shared" si="141"/>
        <v>9.7048519480519343E-3</v>
      </c>
      <c r="W102" s="386">
        <f t="shared" si="142"/>
        <v>9.7048519480519343E-3</v>
      </c>
      <c r="X102" s="4">
        <f t="shared" si="105"/>
        <v>0</v>
      </c>
      <c r="Y102" s="386">
        <f t="shared" si="143"/>
        <v>0</v>
      </c>
      <c r="Z102" s="603">
        <f t="shared" si="144"/>
        <v>0</v>
      </c>
      <c r="AA102" s="386">
        <f t="shared" si="106"/>
        <v>11.375325312887803</v>
      </c>
      <c r="AB102" s="386">
        <f t="shared" si="107"/>
        <v>0.73756874805194816</v>
      </c>
      <c r="AC102" s="386">
        <f t="shared" si="108"/>
        <v>5.7290113636363639E-2</v>
      </c>
      <c r="AD102" s="386">
        <f t="shared" si="109"/>
        <v>0</v>
      </c>
      <c r="AE102" s="386">
        <f t="shared" si="110"/>
        <v>0.93240079980766699</v>
      </c>
      <c r="AF102" s="386">
        <f t="shared" si="111"/>
        <v>2.2453243710999877</v>
      </c>
      <c r="AG102" s="386">
        <f t="shared" si="112"/>
        <v>2.8736444729296665E-2</v>
      </c>
      <c r="AH102" s="386">
        <f t="shared" si="113"/>
        <v>0.1116</v>
      </c>
      <c r="AI102" s="386">
        <f t="shared" si="114"/>
        <v>0.14114766112179589</v>
      </c>
      <c r="AJ102" s="386">
        <f t="shared" si="115"/>
        <v>2.2453243710999864</v>
      </c>
      <c r="AK102" s="386">
        <f t="shared" si="116"/>
        <v>9.5788149097655439E-3</v>
      </c>
      <c r="AL102" s="386">
        <f t="shared" si="117"/>
        <v>5.7488094717986812E-2</v>
      </c>
      <c r="AM102" s="386">
        <f t="shared" si="118"/>
        <v>0</v>
      </c>
      <c r="AN102" s="386">
        <f t="shared" si="119"/>
        <v>6.7195640548463734E-2</v>
      </c>
      <c r="AO102" s="386">
        <f t="shared" si="145"/>
        <v>11.375325312887803</v>
      </c>
      <c r="AP102" s="386">
        <f t="shared" si="120"/>
        <v>0.24585624935064937</v>
      </c>
      <c r="AQ102" s="386">
        <f t="shared" si="121"/>
        <v>0.12400000000000001</v>
      </c>
      <c r="AR102" s="386">
        <f t="shared" si="122"/>
        <v>0.38898303117163013</v>
      </c>
      <c r="AS102" s="386">
        <f t="shared" si="123"/>
        <v>0</v>
      </c>
      <c r="AT102" s="386">
        <f t="shared" si="124"/>
        <v>0</v>
      </c>
      <c r="AU102" s="386">
        <f t="shared" si="125"/>
        <v>0.13691912161499997</v>
      </c>
      <c r="AV102" s="386">
        <f t="shared" si="126"/>
        <v>4.0331852251644422E-2</v>
      </c>
      <c r="AW102" s="386">
        <f t="shared" si="127"/>
        <v>0.59328000000000003</v>
      </c>
      <c r="AX102" s="386">
        <f t="shared" si="128"/>
        <v>3.6000000000000004E-2</v>
      </c>
      <c r="AY102" s="386">
        <f t="shared" si="129"/>
        <v>9.8999999999999977E-2</v>
      </c>
      <c r="AZ102" s="386">
        <f t="shared" si="130"/>
        <v>4.3499999999999997E-2</v>
      </c>
      <c r="BA102" s="386">
        <f t="shared" si="152"/>
        <v>0.13499999999999998</v>
      </c>
      <c r="BB102" s="386">
        <f t="shared" si="153"/>
        <v>2.9121686299074714</v>
      </c>
      <c r="BC102">
        <f t="shared" si="131"/>
        <v>133.92000000000002</v>
      </c>
      <c r="BD102" s="604">
        <f t="shared" si="146"/>
        <v>0.9787172222799152</v>
      </c>
      <c r="BE102" s="614">
        <f t="shared" si="132"/>
        <v>7.8781130407181861</v>
      </c>
      <c r="BF102" s="614">
        <f t="shared" si="133"/>
        <v>21.708317065229007</v>
      </c>
      <c r="BG102" s="9"/>
      <c r="BH102" s="4">
        <f t="shared" si="147"/>
        <v>97.871722227991526</v>
      </c>
      <c r="BI102" s="386">
        <f t="shared" si="148"/>
        <v>0.4672056714432184</v>
      </c>
      <c r="BJ102" s="386">
        <f t="shared" si="149"/>
        <v>1.6666462542645566</v>
      </c>
      <c r="BK102" s="386">
        <f t="shared" si="134"/>
        <v>0.15756226081436372</v>
      </c>
      <c r="BL102" s="386">
        <f t="shared" si="135"/>
        <v>0.43416634130458015</v>
      </c>
      <c r="BM102" s="386">
        <f t="shared" si="150"/>
        <v>4.0331852251644422E-2</v>
      </c>
      <c r="BS102" s="18"/>
      <c r="BT102" s="19"/>
    </row>
    <row r="103" spans="7:72" x14ac:dyDescent="0.2">
      <c r="G103">
        <v>94</v>
      </c>
      <c r="H103" s="610">
        <f t="shared" si="97"/>
        <v>12</v>
      </c>
      <c r="I103" s="4" t="str">
        <f t="shared" si="98"/>
        <v>BUCK-BST</v>
      </c>
      <c r="J103">
        <f t="shared" si="136"/>
        <v>3</v>
      </c>
      <c r="K103" s="386">
        <f t="shared" si="137"/>
        <v>11.28</v>
      </c>
      <c r="L103" s="4">
        <f t="shared" si="99"/>
        <v>12.533333333333331</v>
      </c>
      <c r="M103" s="4">
        <f t="shared" si="151"/>
        <v>11.719480519480518</v>
      </c>
      <c r="N103" s="386">
        <f t="shared" si="100"/>
        <v>0.96250000000000002</v>
      </c>
      <c r="O103" s="386">
        <f t="shared" si="101"/>
        <v>3.7499999999999943E-2</v>
      </c>
      <c r="P103" s="4">
        <f t="shared" si="102"/>
        <v>0</v>
      </c>
      <c r="Q103" s="4">
        <f t="shared" si="103"/>
        <v>11.719480519480518</v>
      </c>
      <c r="R103" s="386">
        <f t="shared" si="138"/>
        <v>0.47769315526702255</v>
      </c>
      <c r="S103" s="386">
        <f t="shared" si="139"/>
        <v>0</v>
      </c>
      <c r="T103" s="386">
        <f t="shared" si="140"/>
        <v>0.47769315526702255</v>
      </c>
      <c r="U103" s="4">
        <f t="shared" si="104"/>
        <v>2.2265085357438563</v>
      </c>
      <c r="V103" s="386">
        <f t="shared" si="141"/>
        <v>9.9146805194805024E-3</v>
      </c>
      <c r="W103" s="386">
        <f t="shared" si="142"/>
        <v>9.9146805194805024E-3</v>
      </c>
      <c r="X103" s="4">
        <f t="shared" si="105"/>
        <v>0</v>
      </c>
      <c r="Y103" s="386">
        <f t="shared" si="143"/>
        <v>0</v>
      </c>
      <c r="Z103" s="603">
        <f t="shared" si="144"/>
        <v>0</v>
      </c>
      <c r="AA103" s="386">
        <f t="shared" si="106"/>
        <v>11.497640638832832</v>
      </c>
      <c r="AB103" s="386">
        <f t="shared" si="107"/>
        <v>0.75351571948051954</v>
      </c>
      <c r="AC103" s="386">
        <f t="shared" si="108"/>
        <v>5.7906136363636361E-2</v>
      </c>
      <c r="AD103" s="386">
        <f t="shared" si="109"/>
        <v>0</v>
      </c>
      <c r="AE103" s="386">
        <f t="shared" si="110"/>
        <v>0.95540428533611954</v>
      </c>
      <c r="AF103" s="386">
        <f t="shared" si="111"/>
        <v>2.2694676439075141</v>
      </c>
      <c r="AG103" s="386">
        <f t="shared" si="112"/>
        <v>2.9357755304435802E-2</v>
      </c>
      <c r="AH103" s="386">
        <f t="shared" si="113"/>
        <v>0.1128</v>
      </c>
      <c r="AI103" s="386">
        <f t="shared" si="114"/>
        <v>0.14299737167379115</v>
      </c>
      <c r="AJ103" s="386">
        <f t="shared" si="115"/>
        <v>2.2694676439075128</v>
      </c>
      <c r="AK103" s="386">
        <f t="shared" si="116"/>
        <v>9.7859184348119219E-3</v>
      </c>
      <c r="AL103" s="386">
        <f t="shared" si="117"/>
        <v>5.7488094717986812E-2</v>
      </c>
      <c r="AM103" s="386">
        <f t="shared" si="118"/>
        <v>0</v>
      </c>
      <c r="AN103" s="386">
        <f t="shared" si="119"/>
        <v>6.7405938956929631E-2</v>
      </c>
      <c r="AO103" s="386">
        <f t="shared" si="145"/>
        <v>11.497640638832832</v>
      </c>
      <c r="AP103" s="386">
        <f t="shared" si="120"/>
        <v>0.25117190649350651</v>
      </c>
      <c r="AQ103" s="386">
        <f t="shared" si="121"/>
        <v>0.12533333333333332</v>
      </c>
      <c r="AR103" s="386">
        <f t="shared" si="122"/>
        <v>0.3964191084761205</v>
      </c>
      <c r="AS103" s="386">
        <f t="shared" si="123"/>
        <v>0</v>
      </c>
      <c r="AT103" s="386">
        <f t="shared" si="124"/>
        <v>0</v>
      </c>
      <c r="AU103" s="386">
        <f t="shared" si="125"/>
        <v>0.13785404885999997</v>
      </c>
      <c r="AV103" s="386">
        <f t="shared" si="126"/>
        <v>4.1203867093944968E-2</v>
      </c>
      <c r="AW103" s="386">
        <f t="shared" si="127"/>
        <v>0.59328000000000003</v>
      </c>
      <c r="AX103" s="386">
        <f t="shared" si="128"/>
        <v>3.6000000000000004E-2</v>
      </c>
      <c r="AY103" s="386">
        <f t="shared" si="129"/>
        <v>9.8999999999999977E-2</v>
      </c>
      <c r="AZ103" s="386">
        <f t="shared" si="130"/>
        <v>4.3499999999999997E-2</v>
      </c>
      <c r="BA103" s="386">
        <f t="shared" si="152"/>
        <v>0.13499999999999998</v>
      </c>
      <c r="BB103" s="386">
        <f t="shared" si="153"/>
        <v>2.9571724561834087</v>
      </c>
      <c r="BC103">
        <f t="shared" si="131"/>
        <v>135.35999999999999</v>
      </c>
      <c r="BD103" s="604">
        <f t="shared" si="146"/>
        <v>0.97862035202375042</v>
      </c>
      <c r="BE103" s="614">
        <f t="shared" si="132"/>
        <v>7.9194805602264804</v>
      </c>
      <c r="BF103" s="614">
        <f t="shared" si="133"/>
        <v>22.095547229996022</v>
      </c>
      <c r="BG103" s="9"/>
      <c r="BH103" s="4">
        <f t="shared" si="147"/>
        <v>97.86203520237504</v>
      </c>
      <c r="BI103" s="386">
        <f t="shared" si="148"/>
        <v>0.47769315526702255</v>
      </c>
      <c r="BJ103" s="386">
        <f t="shared" si="149"/>
        <v>1.7000807533029607</v>
      </c>
      <c r="BK103" s="386">
        <f t="shared" si="134"/>
        <v>0.1583896112045296</v>
      </c>
      <c r="BL103" s="386">
        <f t="shared" si="135"/>
        <v>0.44191094459992047</v>
      </c>
      <c r="BM103" s="386">
        <f t="shared" si="150"/>
        <v>4.1203867093944968E-2</v>
      </c>
      <c r="BS103" s="18"/>
      <c r="BT103" s="19"/>
    </row>
    <row r="104" spans="7:72" x14ac:dyDescent="0.2">
      <c r="G104">
        <v>95</v>
      </c>
      <c r="H104" s="610">
        <f t="shared" si="97"/>
        <v>12</v>
      </c>
      <c r="I104" s="4" t="str">
        <f t="shared" si="98"/>
        <v>BUCK-BST</v>
      </c>
      <c r="J104">
        <f t="shared" si="136"/>
        <v>3</v>
      </c>
      <c r="K104" s="386">
        <f t="shared" si="137"/>
        <v>11.4</v>
      </c>
      <c r="L104" s="4">
        <f t="shared" si="99"/>
        <v>12.666666666666666</v>
      </c>
      <c r="M104" s="4">
        <f t="shared" si="151"/>
        <v>11.844155844155845</v>
      </c>
      <c r="N104" s="386">
        <f t="shared" si="100"/>
        <v>0.96250000000000002</v>
      </c>
      <c r="O104" s="386">
        <f t="shared" si="101"/>
        <v>3.7499999999999943E-2</v>
      </c>
      <c r="P104" s="4">
        <f t="shared" si="102"/>
        <v>0</v>
      </c>
      <c r="Q104" s="4">
        <f t="shared" si="103"/>
        <v>11.844155844155845</v>
      </c>
      <c r="R104" s="386">
        <f t="shared" si="138"/>
        <v>0.48831005583286891</v>
      </c>
      <c r="S104" s="386">
        <f t="shared" si="139"/>
        <v>0</v>
      </c>
      <c r="T104" s="386">
        <f t="shared" si="140"/>
        <v>0.48831005583286891</v>
      </c>
      <c r="U104" s="4">
        <f t="shared" si="104"/>
        <v>2.2501947967624081</v>
      </c>
      <c r="V104" s="386">
        <f t="shared" si="141"/>
        <v>1.0126753246753231E-2</v>
      </c>
      <c r="W104" s="386">
        <f t="shared" si="142"/>
        <v>1.0126753246753231E-2</v>
      </c>
      <c r="X104" s="4">
        <f t="shared" si="105"/>
        <v>0</v>
      </c>
      <c r="Y104" s="386">
        <f t="shared" si="143"/>
        <v>0</v>
      </c>
      <c r="Z104" s="603">
        <f t="shared" si="144"/>
        <v>0</v>
      </c>
      <c r="AA104" s="386">
        <f t="shared" si="106"/>
        <v>11.619955964777864</v>
      </c>
      <c r="AB104" s="386">
        <f t="shared" si="107"/>
        <v>0.76963324675324696</v>
      </c>
      <c r="AC104" s="386">
        <f t="shared" si="108"/>
        <v>5.8522159090909083E-2</v>
      </c>
      <c r="AD104" s="386">
        <f t="shared" si="109"/>
        <v>0</v>
      </c>
      <c r="AE104" s="386">
        <f t="shared" si="110"/>
        <v>0.97882223238512023</v>
      </c>
      <c r="AF104" s="386">
        <f t="shared" si="111"/>
        <v>2.2936109167150414</v>
      </c>
      <c r="AG104" s="386">
        <f t="shared" si="112"/>
        <v>2.9985710912464152E-2</v>
      </c>
      <c r="AH104" s="386">
        <f t="shared" si="113"/>
        <v>0.114</v>
      </c>
      <c r="AI104" s="386">
        <f t="shared" si="114"/>
        <v>0.14485442348587194</v>
      </c>
      <c r="AJ104" s="386">
        <f t="shared" si="115"/>
        <v>2.29361091671504</v>
      </c>
      <c r="AK104" s="386">
        <f t="shared" si="116"/>
        <v>9.9952369708213706E-3</v>
      </c>
      <c r="AL104" s="386">
        <f t="shared" si="117"/>
        <v>5.7488094717986812E-2</v>
      </c>
      <c r="AM104" s="386">
        <f t="shared" si="118"/>
        <v>0</v>
      </c>
      <c r="AN104" s="386">
        <f t="shared" si="119"/>
        <v>6.7618504283593589E-2</v>
      </c>
      <c r="AO104" s="386">
        <f t="shared" si="145"/>
        <v>11.619955964777864</v>
      </c>
      <c r="AP104" s="386">
        <f t="shared" si="120"/>
        <v>0.25654441558441565</v>
      </c>
      <c r="AQ104" s="386">
        <f t="shared" si="121"/>
        <v>0.12666666666666665</v>
      </c>
      <c r="AR104" s="386">
        <f t="shared" si="122"/>
        <v>0.40393661902317113</v>
      </c>
      <c r="AS104" s="386">
        <f t="shared" si="123"/>
        <v>0</v>
      </c>
      <c r="AT104" s="386">
        <f t="shared" si="124"/>
        <v>0</v>
      </c>
      <c r="AU104" s="386">
        <f t="shared" si="125"/>
        <v>0.13878886837499999</v>
      </c>
      <c r="AV104" s="386">
        <f t="shared" si="126"/>
        <v>4.2085208298195273E-2</v>
      </c>
      <c r="AW104" s="386">
        <f t="shared" si="127"/>
        <v>0.59328000000000003</v>
      </c>
      <c r="AX104" s="386">
        <f t="shared" si="128"/>
        <v>3.6000000000000004E-2</v>
      </c>
      <c r="AY104" s="386">
        <f t="shared" si="129"/>
        <v>9.8999999999999977E-2</v>
      </c>
      <c r="AZ104" s="386">
        <f t="shared" si="130"/>
        <v>4.3499999999999997E-2</v>
      </c>
      <c r="BA104" s="386">
        <f t="shared" si="152"/>
        <v>0.13499999999999998</v>
      </c>
      <c r="BB104" s="386">
        <f t="shared" si="153"/>
        <v>3.0028226649305738</v>
      </c>
      <c r="BC104">
        <f t="shared" si="131"/>
        <v>136.80000000000001</v>
      </c>
      <c r="BD104" s="604">
        <f t="shared" si="146"/>
        <v>0.97852101547243064</v>
      </c>
      <c r="BE104" s="614">
        <f t="shared" si="132"/>
        <v>7.9609578705546804</v>
      </c>
      <c r="BF104" s="614">
        <f t="shared" si="133"/>
        <v>22.486847279346055</v>
      </c>
      <c r="BG104" s="9"/>
      <c r="BH104" s="4">
        <f t="shared" si="147"/>
        <v>97.852101547243066</v>
      </c>
      <c r="BI104" s="386">
        <f t="shared" si="148"/>
        <v>0.48831005583286891</v>
      </c>
      <c r="BJ104" s="386">
        <f t="shared" si="149"/>
        <v>1.7340206475527566</v>
      </c>
      <c r="BK104" s="386">
        <f t="shared" si="134"/>
        <v>0.1592191574110936</v>
      </c>
      <c r="BL104" s="386">
        <f t="shared" si="135"/>
        <v>0.44973694558692112</v>
      </c>
      <c r="BM104" s="386">
        <f t="shared" si="150"/>
        <v>4.2085208298195273E-2</v>
      </c>
      <c r="BS104" s="18"/>
      <c r="BT104" s="19"/>
    </row>
    <row r="105" spans="7:72" x14ac:dyDescent="0.2">
      <c r="G105">
        <v>96</v>
      </c>
      <c r="H105" s="610">
        <f t="shared" si="97"/>
        <v>12</v>
      </c>
      <c r="I105" s="4" t="str">
        <f t="shared" ref="I105:I109" si="154">IF(H105&gt;VIN_BB_to_buck, "BUCK", IF(H105&lt;VIN_boost_to_BB,"BOOST","BUCK-BST"))</f>
        <v>BUCK-BST</v>
      </c>
      <c r="J105">
        <f t="shared" si="136"/>
        <v>3</v>
      </c>
      <c r="K105" s="386">
        <f t="shared" si="137"/>
        <v>11.52</v>
      </c>
      <c r="L105" s="4">
        <f t="shared" ref="L105:L109" si="155">Vout*K105/(Vin*Efficiency)</f>
        <v>12.8</v>
      </c>
      <c r="M105" s="4">
        <f t="shared" si="151"/>
        <v>11.968831168831167</v>
      </c>
      <c r="N105" s="386">
        <f t="shared" si="100"/>
        <v>0.96250000000000002</v>
      </c>
      <c r="O105" s="386">
        <f t="shared" si="101"/>
        <v>3.7499999999999943E-2</v>
      </c>
      <c r="P105" s="4">
        <f t="shared" ref="P105:P109" si="156">MAX(0, CHOOSE(J105, (Vin-(Rdson1+Rdcr)*K105-Vout)*N105/(Fsw*Lf), (Vin-(Rdson4+Rdcr+Rs)*L105)*O105/(Fsw*Lf), IF(Vin&lt;Vout, (Vin-(Rdson4+Rdcr+Rs)*L105)*O105/(0.5*Fsw*Lf),(Vin-(Rdson1+Rdcr)*K105-Vout)*N105/(0.5*Fsw*Lf))))</f>
        <v>0</v>
      </c>
      <c r="Q105" s="4">
        <f t="shared" ref="Q105:Q109" si="157">CHOOSE(J105, SQRT(K105^2+(P105^2)/12), SQRT(L105^2+(P105^2)/12), SQRT(M105^2+(P105^2)/12))</f>
        <v>11.968831168831167</v>
      </c>
      <c r="R105" s="386">
        <f t="shared" si="138"/>
        <v>0.49905696698690649</v>
      </c>
      <c r="S105" s="386">
        <f t="shared" si="139"/>
        <v>0</v>
      </c>
      <c r="T105" s="386">
        <f t="shared" si="140"/>
        <v>0.49905696698690649</v>
      </c>
      <c r="U105" s="4">
        <f t="shared" si="104"/>
        <v>2.2738810577809598</v>
      </c>
      <c r="V105" s="386">
        <f t="shared" si="141"/>
        <v>1.0341070129870114E-2</v>
      </c>
      <c r="W105" s="386">
        <f t="shared" si="142"/>
        <v>1.0341070129870114E-2</v>
      </c>
      <c r="X105" s="4">
        <f t="shared" si="105"/>
        <v>0</v>
      </c>
      <c r="Y105" s="386">
        <f t="shared" si="143"/>
        <v>0</v>
      </c>
      <c r="Z105" s="603">
        <f t="shared" si="144"/>
        <v>0</v>
      </c>
      <c r="AA105" s="386">
        <f t="shared" si="106"/>
        <v>11.742271290722892</v>
      </c>
      <c r="AB105" s="386">
        <f t="shared" ref="AB105:AB109" si="158">Rdson1*AA105^2</f>
        <v>0.78592132987012975</v>
      </c>
      <c r="AC105" s="386">
        <f t="shared" si="108"/>
        <v>5.9138181818181812E-2</v>
      </c>
      <c r="AD105" s="386">
        <f t="shared" si="109"/>
        <v>0</v>
      </c>
      <c r="AE105" s="386">
        <f t="shared" ref="AE105:AE109" si="159">(AD105+AC105+AB105*(1+RdsonTopTc*Ta-RdsonTopTc*25))/(1-AB105*RdsonTopTc*ThetaJA_Q1)</f>
        <v>1.0026622398844161</v>
      </c>
      <c r="AF105" s="386">
        <f t="shared" si="111"/>
        <v>2.3177541895225677</v>
      </c>
      <c r="AG105" s="386">
        <f t="shared" ref="AG105:AG109" si="160">Rdson2*AF105^2</f>
        <v>3.0620311553381668E-2</v>
      </c>
      <c r="AH105" s="386">
        <f t="shared" si="113"/>
        <v>0.1152</v>
      </c>
      <c r="AI105" s="386">
        <f t="shared" ref="AI105:AI109" si="161">(AH105+AG105*(1+RdsonBotTc*Ta-RdsonBotTc*25))/(1-AG105*RdsonBotTc*ThetaJA_Q2)</f>
        <v>0.14671882679079781</v>
      </c>
      <c r="AJ105" s="386">
        <f t="shared" si="115"/>
        <v>2.3177541895225664</v>
      </c>
      <c r="AK105" s="386">
        <f t="shared" ref="AK105:AK109" si="162">Rdson4*AJ105^2</f>
        <v>1.0206770517793876E-2</v>
      </c>
      <c r="AL105" s="386">
        <f t="shared" si="117"/>
        <v>5.7488094717986812E-2</v>
      </c>
      <c r="AM105" s="386">
        <f t="shared" si="118"/>
        <v>0</v>
      </c>
      <c r="AN105" s="386">
        <f t="shared" ref="AN105:AN109" si="163">(AM105+AL105+AK105*(1+RdsonTopTc*Ta-RdsonTopTc*25))/(1-AK105*RdsonTopTc*ThetaJA_Q4)</f>
        <v>6.7833337096821378E-2</v>
      </c>
      <c r="AO105" s="386">
        <f t="shared" si="145"/>
        <v>11.742271290722892</v>
      </c>
      <c r="AP105" s="386">
        <f t="shared" ref="AP105:AP109" si="164">Rdson3*AO105^2</f>
        <v>0.26197377662337656</v>
      </c>
      <c r="AQ105" s="386">
        <f t="shared" si="121"/>
        <v>0.128</v>
      </c>
      <c r="AR105" s="386">
        <f t="shared" ref="AR105:AR109" si="165">(AQ105+AP105*(1+RdsonBotTc*Ta-RdsonBotTc*25))/(1-AP105*RdsonBotTc*ThetaJA_Q3)</f>
        <v>0.41153611043699129</v>
      </c>
      <c r="AS105" s="386">
        <f t="shared" si="123"/>
        <v>0</v>
      </c>
      <c r="AT105" s="386">
        <f t="shared" si="124"/>
        <v>0</v>
      </c>
      <c r="AU105" s="386">
        <f t="shared" si="125"/>
        <v>0.13972358015999997</v>
      </c>
      <c r="AV105" s="386">
        <f t="shared" si="126"/>
        <v>4.2975875864395295E-2</v>
      </c>
      <c r="AW105" s="386">
        <f t="shared" si="127"/>
        <v>0.59328000000000003</v>
      </c>
      <c r="AX105" s="386">
        <f t="shared" si="128"/>
        <v>3.6000000000000004E-2</v>
      </c>
      <c r="AY105" s="386">
        <f t="shared" si="129"/>
        <v>9.8999999999999977E-2</v>
      </c>
      <c r="AZ105" s="386">
        <f t="shared" si="130"/>
        <v>4.3499999999999997E-2</v>
      </c>
      <c r="BA105" s="386">
        <f t="shared" si="152"/>
        <v>0.13499999999999998</v>
      </c>
      <c r="BB105" s="386">
        <f t="shared" si="153"/>
        <v>3.0491280073501983</v>
      </c>
      <c r="BC105">
        <f t="shared" si="131"/>
        <v>138.24</v>
      </c>
      <c r="BD105" s="604">
        <f t="shared" si="146"/>
        <v>0.97841923118676499</v>
      </c>
      <c r="BE105" s="614">
        <f t="shared" si="132"/>
        <v>8.002545000121069</v>
      </c>
      <c r="BF105" s="614">
        <f t="shared" si="133"/>
        <v>22.882244594489563</v>
      </c>
      <c r="BG105" s="9"/>
      <c r="BH105" s="4">
        <f t="shared" si="147"/>
        <v>97.841923118676505</v>
      </c>
      <c r="BI105" s="386">
        <f t="shared" si="148"/>
        <v>0.49905696698690649</v>
      </c>
      <c r="BJ105" s="386">
        <f t="shared" si="149"/>
        <v>1.7684740943690263</v>
      </c>
      <c r="BK105" s="386">
        <f t="shared" si="134"/>
        <v>0.16005090000242136</v>
      </c>
      <c r="BL105" s="386">
        <f t="shared" si="135"/>
        <v>0.45764489188979129</v>
      </c>
      <c r="BM105" s="386">
        <f t="shared" si="150"/>
        <v>4.2975875864395295E-2</v>
      </c>
      <c r="BS105" s="18"/>
      <c r="BT105" s="19"/>
    </row>
    <row r="106" spans="7:72" x14ac:dyDescent="0.2">
      <c r="G106">
        <v>97</v>
      </c>
      <c r="H106" s="610">
        <f t="shared" si="97"/>
        <v>12</v>
      </c>
      <c r="I106" s="4" t="str">
        <f t="shared" si="154"/>
        <v>BUCK-BST</v>
      </c>
      <c r="J106">
        <f t="shared" si="136"/>
        <v>3</v>
      </c>
      <c r="K106" s="386">
        <f t="shared" si="137"/>
        <v>11.64</v>
      </c>
      <c r="L106" s="4">
        <f t="shared" si="155"/>
        <v>12.933333333333334</v>
      </c>
      <c r="M106" s="4">
        <f t="shared" si="151"/>
        <v>12.093506493506494</v>
      </c>
      <c r="N106" s="386">
        <f t="shared" si="100"/>
        <v>0.96250000000000002</v>
      </c>
      <c r="O106" s="386">
        <f t="shared" si="101"/>
        <v>3.7499999999999943E-2</v>
      </c>
      <c r="P106" s="4">
        <f t="shared" si="156"/>
        <v>0</v>
      </c>
      <c r="Q106" s="4">
        <f t="shared" si="157"/>
        <v>12.093506493506494</v>
      </c>
      <c r="R106" s="386">
        <f t="shared" si="138"/>
        <v>0.50993449129636381</v>
      </c>
      <c r="S106" s="386">
        <f t="shared" si="139"/>
        <v>0</v>
      </c>
      <c r="T106" s="386">
        <f t="shared" si="140"/>
        <v>0.50993449129636381</v>
      </c>
      <c r="U106" s="4">
        <f t="shared" si="104"/>
        <v>2.2975673187995116</v>
      </c>
      <c r="V106" s="386">
        <f t="shared" si="141"/>
        <v>1.0557631168831152E-2</v>
      </c>
      <c r="W106" s="386">
        <f t="shared" si="142"/>
        <v>1.0557631168831152E-2</v>
      </c>
      <c r="X106" s="4">
        <f t="shared" si="105"/>
        <v>0</v>
      </c>
      <c r="Y106" s="386">
        <f t="shared" si="143"/>
        <v>0</v>
      </c>
      <c r="Z106" s="603">
        <f t="shared" si="144"/>
        <v>0</v>
      </c>
      <c r="AA106" s="386">
        <f t="shared" si="106"/>
        <v>11.864586616667923</v>
      </c>
      <c r="AB106" s="386">
        <f t="shared" si="158"/>
        <v>0.80237996883116902</v>
      </c>
      <c r="AC106" s="386">
        <f t="shared" si="108"/>
        <v>5.9754204545454541E-2</v>
      </c>
      <c r="AD106" s="386">
        <f t="shared" si="109"/>
        <v>0</v>
      </c>
      <c r="AE106" s="386">
        <f t="shared" si="159"/>
        <v>1.0269321269850162</v>
      </c>
      <c r="AF106" s="386">
        <f t="shared" si="111"/>
        <v>2.3418974623300945</v>
      </c>
      <c r="AG106" s="386">
        <f t="shared" si="160"/>
        <v>3.1261557227188382E-2</v>
      </c>
      <c r="AH106" s="386">
        <f t="shared" si="113"/>
        <v>0.1164</v>
      </c>
      <c r="AI106" s="386">
        <f t="shared" si="161"/>
        <v>0.14859059188551857</v>
      </c>
      <c r="AJ106" s="386">
        <f t="shared" si="115"/>
        <v>2.3418974623300932</v>
      </c>
      <c r="AK106" s="386">
        <f t="shared" si="162"/>
        <v>1.0420519075729448E-2</v>
      </c>
      <c r="AL106" s="386">
        <f t="shared" si="117"/>
        <v>5.7488094717986812E-2</v>
      </c>
      <c r="AM106" s="386">
        <f t="shared" si="118"/>
        <v>0</v>
      </c>
      <c r="AN106" s="386">
        <f t="shared" si="163"/>
        <v>6.8050437971114208E-2</v>
      </c>
      <c r="AO106" s="386">
        <f t="shared" si="145"/>
        <v>11.864586616667923</v>
      </c>
      <c r="AP106" s="386">
        <f t="shared" si="164"/>
        <v>0.26745998961038964</v>
      </c>
      <c r="AQ106" s="386">
        <f t="shared" si="121"/>
        <v>0.12933333333333333</v>
      </c>
      <c r="AR106" s="386">
        <f t="shared" si="165"/>
        <v>0.41921813875067121</v>
      </c>
      <c r="AS106" s="386">
        <f t="shared" si="123"/>
        <v>0</v>
      </c>
      <c r="AT106" s="386">
        <f t="shared" si="124"/>
        <v>0</v>
      </c>
      <c r="AU106" s="386">
        <f t="shared" si="125"/>
        <v>0.14065818421499998</v>
      </c>
      <c r="AV106" s="386">
        <f t="shared" si="126"/>
        <v>4.3875869792545076E-2</v>
      </c>
      <c r="AW106" s="386">
        <f t="shared" si="127"/>
        <v>0.59328000000000003</v>
      </c>
      <c r="AX106" s="386">
        <f t="shared" si="128"/>
        <v>3.6000000000000004E-2</v>
      </c>
      <c r="AY106" s="386">
        <f t="shared" si="129"/>
        <v>9.8999999999999977E-2</v>
      </c>
      <c r="AZ106" s="386">
        <f t="shared" si="130"/>
        <v>4.3499999999999997E-2</v>
      </c>
      <c r="BA106" s="386">
        <f t="shared" si="152"/>
        <v>0.13499999999999998</v>
      </c>
      <c r="BB106" s="386">
        <f t="shared" si="153"/>
        <v>3.0960974720650598</v>
      </c>
      <c r="BC106">
        <f t="shared" si="131"/>
        <v>139.68</v>
      </c>
      <c r="BD106" s="604">
        <f t="shared" si="146"/>
        <v>0.97831501542006483</v>
      </c>
      <c r="BE106" s="614">
        <f t="shared" si="132"/>
        <v>8.0442419776507101</v>
      </c>
      <c r="BF106" s="614">
        <f t="shared" si="133"/>
        <v>23.281766977081062</v>
      </c>
      <c r="BG106" s="9"/>
      <c r="BH106" s="4">
        <f t="shared" si="147"/>
        <v>97.831501542006478</v>
      </c>
      <c r="BI106" s="386">
        <f t="shared" si="148"/>
        <v>0.50993449129636381</v>
      </c>
      <c r="BJ106" s="386">
        <f t="shared" si="149"/>
        <v>1.8034494798073202</v>
      </c>
      <c r="BK106" s="386">
        <f t="shared" si="134"/>
        <v>0.16088483955301419</v>
      </c>
      <c r="BL106" s="386">
        <f t="shared" si="135"/>
        <v>0.46563533954162123</v>
      </c>
      <c r="BM106" s="386">
        <f t="shared" si="150"/>
        <v>4.3875869792545076E-2</v>
      </c>
      <c r="BS106" s="18"/>
      <c r="BT106" s="19"/>
    </row>
    <row r="107" spans="7:72" x14ac:dyDescent="0.2">
      <c r="G107">
        <v>98</v>
      </c>
      <c r="H107" s="610">
        <f t="shared" si="97"/>
        <v>12</v>
      </c>
      <c r="I107" s="4" t="str">
        <f t="shared" si="154"/>
        <v>BUCK-BST</v>
      </c>
      <c r="J107">
        <f t="shared" si="136"/>
        <v>3</v>
      </c>
      <c r="K107" s="386">
        <f t="shared" si="137"/>
        <v>11.76</v>
      </c>
      <c r="L107" s="4">
        <f t="shared" si="155"/>
        <v>13.066666666666666</v>
      </c>
      <c r="M107" s="4">
        <f t="shared" si="151"/>
        <v>12.218181818181817</v>
      </c>
      <c r="N107" s="386">
        <f t="shared" si="100"/>
        <v>0.96250000000000002</v>
      </c>
      <c r="O107" s="386">
        <f t="shared" si="101"/>
        <v>3.7499999999999943E-2</v>
      </c>
      <c r="P107" s="4">
        <f t="shared" si="156"/>
        <v>0</v>
      </c>
      <c r="Q107" s="4">
        <f t="shared" si="157"/>
        <v>12.218181818181817</v>
      </c>
      <c r="R107" s="386">
        <f t="shared" si="138"/>
        <v>0.52094324013798277</v>
      </c>
      <c r="S107" s="386">
        <f t="shared" si="139"/>
        <v>0</v>
      </c>
      <c r="T107" s="386">
        <f t="shared" si="140"/>
        <v>0.52094324013798277</v>
      </c>
      <c r="U107" s="4">
        <f t="shared" si="104"/>
        <v>2.3212535798180634</v>
      </c>
      <c r="V107" s="386">
        <f t="shared" si="141"/>
        <v>1.0776436363636349E-2</v>
      </c>
      <c r="W107" s="386">
        <f t="shared" si="142"/>
        <v>1.0776436363636349E-2</v>
      </c>
      <c r="X107" s="4">
        <f t="shared" si="105"/>
        <v>0</v>
      </c>
      <c r="Y107" s="386">
        <f t="shared" si="143"/>
        <v>0</v>
      </c>
      <c r="Z107" s="603">
        <f t="shared" si="144"/>
        <v>0</v>
      </c>
      <c r="AA107" s="386">
        <f t="shared" si="106"/>
        <v>11.986901942612953</v>
      </c>
      <c r="AB107" s="386">
        <f t="shared" si="158"/>
        <v>0.81900916363636367</v>
      </c>
      <c r="AC107" s="386">
        <f t="shared" si="108"/>
        <v>6.037022727272727E-2</v>
      </c>
      <c r="AD107" s="386">
        <f t="shared" si="109"/>
        <v>0</v>
      </c>
      <c r="AE107" s="386">
        <f t="shared" si="159"/>
        <v>1.0516399405384969</v>
      </c>
      <c r="AF107" s="386">
        <f t="shared" si="111"/>
        <v>2.3660407351376209</v>
      </c>
      <c r="AG107" s="386">
        <f t="shared" si="160"/>
        <v>3.1909447933884269E-2</v>
      </c>
      <c r="AH107" s="386">
        <f t="shared" si="113"/>
        <v>0.1176</v>
      </c>
      <c r="AI107" s="386">
        <f t="shared" si="161"/>
        <v>0.15046972913135279</v>
      </c>
      <c r="AJ107" s="386">
        <f t="shared" si="115"/>
        <v>2.3660407351376196</v>
      </c>
      <c r="AK107" s="386">
        <f t="shared" si="162"/>
        <v>1.0636482644628078E-2</v>
      </c>
      <c r="AL107" s="386">
        <f t="shared" si="117"/>
        <v>5.7488094717986812E-2</v>
      </c>
      <c r="AM107" s="386">
        <f t="shared" si="118"/>
        <v>0</v>
      </c>
      <c r="AN107" s="386">
        <f t="shared" si="163"/>
        <v>6.8269807487112644E-2</v>
      </c>
      <c r="AO107" s="386">
        <f t="shared" si="145"/>
        <v>11.986901942612953</v>
      </c>
      <c r="AP107" s="386">
        <f t="shared" si="164"/>
        <v>0.27300305454545454</v>
      </c>
      <c r="AQ107" s="386">
        <f t="shared" si="121"/>
        <v>0.13066666666666665</v>
      </c>
      <c r="AR107" s="386">
        <f t="shared" si="165"/>
        <v>0.4269832685213471</v>
      </c>
      <c r="AS107" s="386">
        <f t="shared" si="123"/>
        <v>0</v>
      </c>
      <c r="AT107" s="386">
        <f t="shared" si="124"/>
        <v>0</v>
      </c>
      <c r="AU107" s="386">
        <f t="shared" si="125"/>
        <v>0.14159268053999999</v>
      </c>
      <c r="AV107" s="386">
        <f t="shared" si="126"/>
        <v>4.478519008264456E-2</v>
      </c>
      <c r="AW107" s="386">
        <f t="shared" si="127"/>
        <v>0.59328000000000003</v>
      </c>
      <c r="AX107" s="386">
        <f t="shared" si="128"/>
        <v>3.6000000000000004E-2</v>
      </c>
      <c r="AY107" s="386">
        <f t="shared" si="129"/>
        <v>9.8999999999999977E-2</v>
      </c>
      <c r="AZ107" s="386">
        <f t="shared" si="130"/>
        <v>4.3499999999999997E-2</v>
      </c>
      <c r="BA107" s="386">
        <f t="shared" si="152"/>
        <v>0.13499999999999998</v>
      </c>
      <c r="BB107" s="386">
        <f t="shared" si="153"/>
        <v>3.1437402928025731</v>
      </c>
      <c r="BC107">
        <f t="shared" si="131"/>
        <v>141.12</v>
      </c>
      <c r="BD107" s="604">
        <f t="shared" si="146"/>
        <v>0.97820838218652917</v>
      </c>
      <c r="BE107" s="614">
        <f t="shared" si="132"/>
        <v>8.0860488321756332</v>
      </c>
      <c r="BF107" s="614">
        <f t="shared" si="133"/>
        <v>23.685442654977354</v>
      </c>
      <c r="BG107" s="9"/>
      <c r="BH107" s="4">
        <f t="shared" si="147"/>
        <v>97.820838218652924</v>
      </c>
      <c r="BI107" s="386">
        <f t="shared" si="148"/>
        <v>0.52094324013798277</v>
      </c>
      <c r="BJ107" s="386">
        <f t="shared" si="149"/>
        <v>1.8389554262183094</v>
      </c>
      <c r="BK107" s="386">
        <f t="shared" si="134"/>
        <v>0.16172097664351265</v>
      </c>
      <c r="BL107" s="386">
        <f t="shared" si="135"/>
        <v>0.47370885309954708</v>
      </c>
      <c r="BM107" s="386">
        <f t="shared" si="150"/>
        <v>4.478519008264456E-2</v>
      </c>
      <c r="BS107" s="18"/>
      <c r="BT107" s="19"/>
    </row>
    <row r="108" spans="7:72" x14ac:dyDescent="0.2">
      <c r="G108">
        <v>99</v>
      </c>
      <c r="H108" s="610">
        <f t="shared" si="97"/>
        <v>12</v>
      </c>
      <c r="I108" s="4" t="str">
        <f t="shared" si="154"/>
        <v>BUCK-BST</v>
      </c>
      <c r="J108">
        <f t="shared" si="136"/>
        <v>3</v>
      </c>
      <c r="K108" s="386">
        <f t="shared" si="137"/>
        <v>11.88</v>
      </c>
      <c r="L108" s="4">
        <f t="shared" si="155"/>
        <v>13.2</v>
      </c>
      <c r="M108" s="4">
        <f t="shared" si="151"/>
        <v>12.342857142857143</v>
      </c>
      <c r="N108" s="386">
        <f t="shared" si="100"/>
        <v>0.96250000000000002</v>
      </c>
      <c r="O108" s="386">
        <f t="shared" si="101"/>
        <v>3.7499999999999943E-2</v>
      </c>
      <c r="P108" s="4">
        <f t="shared" si="156"/>
        <v>0</v>
      </c>
      <c r="Q108" s="4">
        <f t="shared" si="157"/>
        <v>12.342857142857143</v>
      </c>
      <c r="R108" s="386">
        <f t="shared" si="138"/>
        <v>0.53208383378804791</v>
      </c>
      <c r="S108" s="386">
        <f t="shared" si="139"/>
        <v>0</v>
      </c>
      <c r="T108" s="386">
        <f t="shared" si="140"/>
        <v>0.53208383378804791</v>
      </c>
      <c r="U108" s="4">
        <f t="shared" si="104"/>
        <v>2.3449398408366151</v>
      </c>
      <c r="V108" s="386">
        <f t="shared" si="141"/>
        <v>1.09974857142857E-2</v>
      </c>
      <c r="W108" s="386">
        <f t="shared" si="142"/>
        <v>1.09974857142857E-2</v>
      </c>
      <c r="X108" s="4">
        <f t="shared" si="105"/>
        <v>0</v>
      </c>
      <c r="Y108" s="386">
        <f t="shared" si="143"/>
        <v>0</v>
      </c>
      <c r="Z108" s="603">
        <f t="shared" si="144"/>
        <v>0</v>
      </c>
      <c r="AA108" s="386">
        <f t="shared" si="106"/>
        <v>12.109217268557984</v>
      </c>
      <c r="AB108" s="386">
        <f t="shared" si="158"/>
        <v>0.83580891428571435</v>
      </c>
      <c r="AC108" s="386">
        <f t="shared" si="108"/>
        <v>6.0986249999999992E-2</v>
      </c>
      <c r="AD108" s="386">
        <f t="shared" si="109"/>
        <v>0</v>
      </c>
      <c r="AE108" s="386">
        <f t="shared" si="159"/>
        <v>1.0767939628926595</v>
      </c>
      <c r="AF108" s="386">
        <f t="shared" si="111"/>
        <v>2.3901840079451482</v>
      </c>
      <c r="AG108" s="386">
        <f t="shared" si="160"/>
        <v>3.2563983673469375E-2</v>
      </c>
      <c r="AH108" s="386">
        <f t="shared" si="113"/>
        <v>0.11880000000000002</v>
      </c>
      <c r="AI108" s="386">
        <f t="shared" si="161"/>
        <v>0.1523562489541683</v>
      </c>
      <c r="AJ108" s="386">
        <f t="shared" si="115"/>
        <v>2.3901840079451468</v>
      </c>
      <c r="AK108" s="386">
        <f t="shared" si="162"/>
        <v>1.0854661224489779E-2</v>
      </c>
      <c r="AL108" s="386">
        <f t="shared" si="117"/>
        <v>5.7488094717986812E-2</v>
      </c>
      <c r="AM108" s="386">
        <f t="shared" si="118"/>
        <v>0</v>
      </c>
      <c r="AN108" s="386">
        <f t="shared" si="163"/>
        <v>6.8491446231600459E-2</v>
      </c>
      <c r="AO108" s="386">
        <f t="shared" si="145"/>
        <v>12.109217268557984</v>
      </c>
      <c r="AP108" s="386">
        <f t="shared" si="164"/>
        <v>0.27860297142857143</v>
      </c>
      <c r="AQ108" s="386">
        <f t="shared" si="121"/>
        <v>0.13200000000000001</v>
      </c>
      <c r="AR108" s="386">
        <f t="shared" si="165"/>
        <v>0.4348320729477067</v>
      </c>
      <c r="AS108" s="386">
        <f t="shared" si="123"/>
        <v>0</v>
      </c>
      <c r="AT108" s="386">
        <f t="shared" si="124"/>
        <v>0</v>
      </c>
      <c r="AU108" s="386">
        <f t="shared" si="125"/>
        <v>0.14252706913499996</v>
      </c>
      <c r="AV108" s="386">
        <f t="shared" si="126"/>
        <v>4.5703836734693838E-2</v>
      </c>
      <c r="AW108" s="386">
        <f t="shared" si="127"/>
        <v>0.59328000000000003</v>
      </c>
      <c r="AX108" s="386">
        <f t="shared" si="128"/>
        <v>3.6000000000000004E-2</v>
      </c>
      <c r="AY108" s="386">
        <f t="shared" si="129"/>
        <v>9.8999999999999977E-2</v>
      </c>
      <c r="AZ108" s="386">
        <f t="shared" si="130"/>
        <v>4.3499999999999997E-2</v>
      </c>
      <c r="BA108" s="386">
        <f t="shared" si="152"/>
        <v>0.13499999999999998</v>
      </c>
      <c r="BB108" s="386">
        <f t="shared" si="153"/>
        <v>3.1920659563981624</v>
      </c>
      <c r="BC108">
        <f t="shared" si="131"/>
        <v>142.56</v>
      </c>
      <c r="BD108" s="604">
        <f t="shared" si="146"/>
        <v>0.97809934332352411</v>
      </c>
      <c r="BE108" s="614">
        <f t="shared" si="132"/>
        <v>8.1279655930350216</v>
      </c>
      <c r="BF108" s="614">
        <f t="shared" si="133"/>
        <v>24.093300288112836</v>
      </c>
      <c r="BG108" s="9"/>
      <c r="BH108" s="4">
        <f t="shared" si="147"/>
        <v>97.809934332352412</v>
      </c>
      <c r="BI108" s="386">
        <f t="shared" si="148"/>
        <v>0.53208383378804791</v>
      </c>
      <c r="BJ108" s="386">
        <f t="shared" si="149"/>
        <v>1.8750008001611349</v>
      </c>
      <c r="BK108" s="386">
        <f t="shared" si="134"/>
        <v>0.16255931186070044</v>
      </c>
      <c r="BL108" s="386">
        <f t="shared" si="135"/>
        <v>0.48186600576225669</v>
      </c>
      <c r="BM108" s="386">
        <f t="shared" si="150"/>
        <v>4.5703836734693838E-2</v>
      </c>
      <c r="BS108" s="18"/>
      <c r="BT108" s="19"/>
    </row>
    <row r="109" spans="7:72" x14ac:dyDescent="0.2">
      <c r="G109">
        <v>100</v>
      </c>
      <c r="H109" s="610">
        <f t="shared" si="97"/>
        <v>12</v>
      </c>
      <c r="I109" s="4" t="str">
        <f t="shared" si="154"/>
        <v>BUCK-BST</v>
      </c>
      <c r="J109">
        <f t="shared" si="136"/>
        <v>3</v>
      </c>
      <c r="K109" s="386">
        <f t="shared" si="137"/>
        <v>12</v>
      </c>
      <c r="L109" s="4">
        <f t="shared" si="155"/>
        <v>13.333333333333332</v>
      </c>
      <c r="M109" s="4">
        <f>K109/(1-O109)</f>
        <v>12.467532467532468</v>
      </c>
      <c r="N109" s="386">
        <f t="shared" si="100"/>
        <v>0.96250000000000002</v>
      </c>
      <c r="O109" s="386">
        <f t="shared" si="101"/>
        <v>3.7499999999999943E-2</v>
      </c>
      <c r="P109" s="4">
        <f t="shared" si="156"/>
        <v>0</v>
      </c>
      <c r="Q109" s="4">
        <f t="shared" si="157"/>
        <v>12.467532467532468</v>
      </c>
      <c r="R109" s="386">
        <f t="shared" si="138"/>
        <v>0.54335690151402738</v>
      </c>
      <c r="S109" s="386">
        <f t="shared" si="139"/>
        <v>0</v>
      </c>
      <c r="T109" s="386">
        <f t="shared" si="140"/>
        <v>0.54335690151402738</v>
      </c>
      <c r="U109" s="4">
        <f t="shared" si="104"/>
        <v>2.3686261018551664</v>
      </c>
      <c r="V109" s="386">
        <f t="shared" si="141"/>
        <v>1.1220779220779204E-2</v>
      </c>
      <c r="W109" s="386">
        <f t="shared" si="142"/>
        <v>1.1220779220779204E-2</v>
      </c>
      <c r="X109" s="4">
        <f t="shared" si="105"/>
        <v>0</v>
      </c>
      <c r="Y109" s="386">
        <f t="shared" si="143"/>
        <v>0</v>
      </c>
      <c r="Z109" s="603">
        <f t="shared" si="144"/>
        <v>0</v>
      </c>
      <c r="AA109" s="386">
        <f t="shared" si="106"/>
        <v>12.231532594503015</v>
      </c>
      <c r="AB109" s="386">
        <f t="shared" si="158"/>
        <v>0.85277922077922108</v>
      </c>
      <c r="AC109" s="386">
        <f t="shared" si="108"/>
        <v>6.1602272727272721E-2</v>
      </c>
      <c r="AD109" s="386">
        <f t="shared" si="109"/>
        <v>0</v>
      </c>
      <c r="AE109" s="386">
        <f t="shared" si="159"/>
        <v>1.10240272001904</v>
      </c>
      <c r="AF109" s="386">
        <f t="shared" si="111"/>
        <v>2.414327280752675</v>
      </c>
      <c r="AG109" s="386">
        <f t="shared" si="160"/>
        <v>3.3225164445943652E-2</v>
      </c>
      <c r="AH109" s="386">
        <f t="shared" si="113"/>
        <v>0.12</v>
      </c>
      <c r="AI109" s="386">
        <f t="shared" si="161"/>
        <v>0.15425016184456344</v>
      </c>
      <c r="AJ109" s="386">
        <f t="shared" si="115"/>
        <v>2.4143272807526737</v>
      </c>
      <c r="AK109" s="386">
        <f t="shared" si="162"/>
        <v>1.1075054815314539E-2</v>
      </c>
      <c r="AL109" s="386">
        <f t="shared" si="117"/>
        <v>5.7488094717986812E-2</v>
      </c>
      <c r="AM109" s="386">
        <f t="shared" si="118"/>
        <v>0</v>
      </c>
      <c r="AN109" s="386">
        <f t="shared" si="163"/>
        <v>6.8715354797508593E-2</v>
      </c>
      <c r="AO109" s="386">
        <f t="shared" si="145"/>
        <v>12.231532594503015</v>
      </c>
      <c r="AP109" s="386">
        <f t="shared" si="164"/>
        <v>0.28425974025974038</v>
      </c>
      <c r="AQ109" s="386">
        <f t="shared" si="121"/>
        <v>0.13333333333333333</v>
      </c>
      <c r="AR109" s="386">
        <f t="shared" si="165"/>
        <v>0.44276513398988021</v>
      </c>
      <c r="AS109" s="386">
        <f t="shared" si="123"/>
        <v>0</v>
      </c>
      <c r="AT109" s="386">
        <f t="shared" si="124"/>
        <v>0</v>
      </c>
      <c r="AU109" s="386">
        <f t="shared" si="125"/>
        <v>0.14346134999999999</v>
      </c>
      <c r="AV109" s="386">
        <f t="shared" si="126"/>
        <v>4.6631809748692819E-2</v>
      </c>
      <c r="AW109" s="386">
        <f t="shared" si="127"/>
        <v>0.59328000000000003</v>
      </c>
      <c r="AX109" s="386">
        <f t="shared" si="128"/>
        <v>3.6000000000000004E-2</v>
      </c>
      <c r="AY109" s="386">
        <f t="shared" si="129"/>
        <v>9.8999999999999977E-2</v>
      </c>
      <c r="AZ109" s="386">
        <f t="shared" si="130"/>
        <v>4.3499999999999997E-2</v>
      </c>
      <c r="BA109" s="386">
        <f t="shared" si="152"/>
        <v>0.13499999999999998</v>
      </c>
      <c r="BB109" s="386">
        <f t="shared" si="153"/>
        <v>3.2410842111344915</v>
      </c>
      <c r="BC109">
        <f t="shared" si="131"/>
        <v>144</v>
      </c>
      <c r="BD109" s="604">
        <f t="shared" si="146"/>
        <v>0.97798790854808593</v>
      </c>
      <c r="BE109" s="614">
        <f t="shared" si="132"/>
        <v>8.1699922898754309</v>
      </c>
      <c r="BF109" s="614">
        <f t="shared" si="133"/>
        <v>24.505368974494012</v>
      </c>
      <c r="BG109" s="9"/>
      <c r="BH109" s="4">
        <f t="shared" si="147"/>
        <v>97.798790854808587</v>
      </c>
      <c r="BI109" s="386">
        <f t="shared" si="148"/>
        <v>0.54335690151402738</v>
      </c>
      <c r="BJ109" s="386">
        <f t="shared" si="149"/>
        <v>1.9115947206509922</v>
      </c>
      <c r="BK109" s="386">
        <f t="shared" si="134"/>
        <v>0.1633998457975086</v>
      </c>
      <c r="BL109" s="386">
        <f t="shared" si="135"/>
        <v>0.4901073794898802</v>
      </c>
      <c r="BM109" s="386">
        <f t="shared" si="150"/>
        <v>4.6631809748692819E-2</v>
      </c>
      <c r="BS109" s="18"/>
      <c r="BT109" s="19"/>
    </row>
    <row r="110" spans="7:72" x14ac:dyDescent="0.2">
      <c r="H110" s="610"/>
      <c r="I110" s="4"/>
      <c r="L110" s="4"/>
      <c r="M110" s="4"/>
      <c r="Q110" s="386"/>
      <c r="R110" s="386"/>
      <c r="S110" s="386"/>
      <c r="T110" s="386"/>
      <c r="V110" s="386"/>
      <c r="W110" s="386"/>
      <c r="X110" s="386"/>
      <c r="Y110" s="386"/>
      <c r="Z110" s="603"/>
      <c r="AA110" s="386"/>
      <c r="AB110" s="386"/>
      <c r="AC110" s="386"/>
      <c r="AE110" s="386"/>
      <c r="AF110" s="386"/>
      <c r="AG110" s="386"/>
      <c r="AH110" s="386"/>
      <c r="AI110" s="386"/>
      <c r="AJ110" s="386"/>
      <c r="AK110" s="386"/>
      <c r="AL110" s="386"/>
      <c r="AN110" s="386"/>
      <c r="AO110" s="386"/>
      <c r="AP110" s="386"/>
      <c r="AQ110" s="386"/>
      <c r="AR110" s="386"/>
      <c r="AS110" s="386"/>
      <c r="AT110" s="386"/>
      <c r="AU110" s="386"/>
      <c r="AV110" s="386"/>
      <c r="AW110" s="386"/>
      <c r="AX110" s="386"/>
      <c r="AY110" s="386"/>
      <c r="AZ110" s="386"/>
      <c r="BA110" s="386"/>
      <c r="BB110" s="386"/>
      <c r="BD110" s="604"/>
      <c r="BE110" s="614"/>
      <c r="BF110" s="614"/>
      <c r="BG110" s="9"/>
      <c r="BH110" s="48"/>
      <c r="BI110" s="386"/>
      <c r="BJ110" s="386"/>
      <c r="BK110" s="386"/>
      <c r="BL110" s="386"/>
      <c r="BM110" s="386"/>
    </row>
    <row r="111" spans="7:72" x14ac:dyDescent="0.2">
      <c r="H111" s="610"/>
      <c r="I111" s="4"/>
      <c r="L111" s="4"/>
      <c r="M111" s="4"/>
      <c r="Q111" s="386"/>
      <c r="R111" s="386"/>
      <c r="S111" s="386"/>
      <c r="T111" s="386"/>
      <c r="V111" s="386"/>
      <c r="W111" s="386"/>
      <c r="X111" s="386"/>
      <c r="Y111" s="386"/>
      <c r="Z111" s="603"/>
      <c r="AA111" s="386"/>
      <c r="AB111" s="386"/>
      <c r="AC111" s="386"/>
      <c r="AE111" s="386"/>
      <c r="AF111" s="386"/>
      <c r="AG111" s="386"/>
      <c r="AH111" s="386"/>
      <c r="AI111" s="386"/>
      <c r="AJ111" s="386"/>
      <c r="AK111" s="386"/>
      <c r="AL111" s="386"/>
      <c r="AN111" s="386"/>
      <c r="AO111" s="386"/>
      <c r="AP111" s="386"/>
      <c r="AQ111" s="386"/>
      <c r="AR111" s="386"/>
      <c r="AS111" s="386"/>
      <c r="AT111" s="386"/>
      <c r="AU111" s="386"/>
      <c r="AV111" s="386"/>
      <c r="AW111" s="386"/>
      <c r="AX111" s="386"/>
      <c r="AY111" s="386"/>
      <c r="AZ111" s="386"/>
      <c r="BA111" s="386"/>
      <c r="BB111" s="386"/>
      <c r="BD111" s="604"/>
      <c r="BE111" s="614"/>
      <c r="BF111" s="614"/>
      <c r="BG111" s="9"/>
      <c r="BH111" s="48"/>
      <c r="BI111" s="386"/>
      <c r="BJ111" s="386"/>
      <c r="BK111" s="386"/>
      <c r="BL111" s="386"/>
      <c r="BM111" s="386"/>
    </row>
    <row r="112" spans="7:72" x14ac:dyDescent="0.2">
      <c r="H112" s="610"/>
      <c r="I112" s="4"/>
      <c r="L112" s="4"/>
      <c r="M112" s="4"/>
      <c r="Q112" s="386"/>
      <c r="R112" s="386"/>
      <c r="S112" s="386"/>
      <c r="T112" s="386"/>
      <c r="V112" s="386"/>
      <c r="W112" s="386"/>
      <c r="X112" s="386"/>
      <c r="Y112" s="386"/>
      <c r="Z112" s="603"/>
      <c r="AA112" s="386"/>
      <c r="AB112" s="386"/>
      <c r="AC112" s="386"/>
      <c r="AE112" s="386"/>
      <c r="AF112" s="386"/>
      <c r="AG112" s="386"/>
      <c r="AH112" s="386"/>
      <c r="AI112" s="386"/>
      <c r="AJ112" s="386"/>
      <c r="AK112" s="386"/>
      <c r="AL112" s="386"/>
      <c r="AN112" s="386"/>
      <c r="AO112" s="386"/>
      <c r="AP112" s="386"/>
      <c r="AQ112" s="386"/>
      <c r="AR112" s="386"/>
      <c r="AS112" s="386"/>
      <c r="AT112" s="386"/>
      <c r="AU112" s="386"/>
      <c r="AV112" s="386"/>
      <c r="AW112" s="386"/>
      <c r="AX112" s="386"/>
      <c r="AY112" s="386"/>
      <c r="AZ112" s="386"/>
      <c r="BA112" s="386"/>
      <c r="BB112" s="386"/>
      <c r="BD112" s="604"/>
      <c r="BE112" s="614"/>
      <c r="BF112" s="614"/>
      <c r="BG112" s="9"/>
      <c r="BH112" s="48"/>
      <c r="BI112" s="386"/>
      <c r="BJ112" s="386"/>
      <c r="BK112" s="386"/>
      <c r="BL112" s="386"/>
      <c r="BM112" s="386"/>
    </row>
    <row r="113" spans="8:65" x14ac:dyDescent="0.2">
      <c r="H113" s="610"/>
      <c r="I113" s="4"/>
      <c r="L113" s="4"/>
      <c r="M113" s="4"/>
      <c r="Q113" s="386"/>
      <c r="R113" s="386"/>
      <c r="S113" s="386"/>
      <c r="T113" s="386"/>
      <c r="V113" s="386"/>
      <c r="W113" s="386"/>
      <c r="X113" s="386"/>
      <c r="Y113" s="386"/>
      <c r="Z113" s="603"/>
      <c r="AA113" s="386"/>
      <c r="AB113" s="386"/>
      <c r="AC113" s="386"/>
      <c r="AE113" s="386"/>
      <c r="AF113" s="386"/>
      <c r="AG113" s="386"/>
      <c r="AH113" s="386"/>
      <c r="AI113" s="386"/>
      <c r="AJ113" s="386"/>
      <c r="AK113" s="386"/>
      <c r="AL113" s="386"/>
      <c r="AN113" s="386"/>
      <c r="AO113" s="386"/>
      <c r="AP113" s="386"/>
      <c r="AQ113" s="386"/>
      <c r="AR113" s="386"/>
      <c r="AS113" s="386"/>
      <c r="AT113" s="386"/>
      <c r="AU113" s="386"/>
      <c r="AV113" s="386"/>
      <c r="AW113" s="386"/>
      <c r="AX113" s="386"/>
      <c r="AY113" s="386"/>
      <c r="AZ113" s="386"/>
      <c r="BA113" s="386"/>
      <c r="BB113" s="386"/>
      <c r="BD113" s="604"/>
      <c r="BE113" s="614"/>
      <c r="BF113" s="614"/>
      <c r="BG113" s="9"/>
      <c r="BH113" s="48"/>
      <c r="BI113" s="386"/>
      <c r="BJ113" s="386"/>
      <c r="BK113" s="386"/>
      <c r="BL113" s="386"/>
      <c r="BM113" s="386"/>
    </row>
    <row r="114" spans="8:65" x14ac:dyDescent="0.2">
      <c r="H114" s="610"/>
      <c r="I114" s="4"/>
      <c r="L114" s="4"/>
      <c r="M114" s="4"/>
      <c r="Q114" s="386"/>
      <c r="R114" s="386"/>
      <c r="S114" s="386"/>
      <c r="T114" s="386"/>
      <c r="V114" s="386"/>
      <c r="W114" s="386"/>
      <c r="X114" s="386"/>
      <c r="Y114" s="386"/>
      <c r="Z114" s="603"/>
      <c r="AA114" s="386"/>
      <c r="AB114" s="386"/>
      <c r="AC114" s="386"/>
      <c r="AE114" s="386"/>
      <c r="AF114" s="386"/>
      <c r="AG114" s="386"/>
      <c r="AH114" s="386"/>
      <c r="AI114" s="386"/>
      <c r="AJ114" s="386"/>
      <c r="AK114" s="386"/>
      <c r="AL114" s="386"/>
      <c r="AN114" s="386"/>
      <c r="AO114" s="386"/>
      <c r="AP114" s="386"/>
      <c r="AQ114" s="386"/>
      <c r="AR114" s="386"/>
      <c r="AS114" s="386"/>
      <c r="AT114" s="386"/>
      <c r="AU114" s="386"/>
      <c r="AV114" s="386"/>
      <c r="AW114" s="386"/>
      <c r="AX114" s="386"/>
      <c r="AY114" s="386"/>
      <c r="AZ114" s="386"/>
      <c r="BA114" s="386"/>
      <c r="BB114" s="386"/>
      <c r="BD114" s="604"/>
      <c r="BE114" s="614"/>
      <c r="BF114" s="614"/>
      <c r="BG114" s="9"/>
      <c r="BH114" s="48"/>
      <c r="BI114" s="386"/>
      <c r="BJ114" s="386"/>
      <c r="BK114" s="386"/>
      <c r="BL114" s="386"/>
      <c r="BM114" s="386"/>
    </row>
    <row r="115" spans="8:65" x14ac:dyDescent="0.2">
      <c r="H115" s="610"/>
      <c r="I115" s="4"/>
      <c r="L115" s="4"/>
      <c r="M115" s="4"/>
      <c r="Q115" s="386"/>
      <c r="R115" s="386"/>
      <c r="S115" s="386"/>
      <c r="T115" s="386"/>
      <c r="V115" s="386"/>
      <c r="W115" s="386"/>
      <c r="X115" s="386"/>
      <c r="Y115" s="386"/>
      <c r="Z115" s="603"/>
      <c r="AA115" s="386"/>
      <c r="AB115" s="386"/>
      <c r="AC115" s="386"/>
      <c r="AE115" s="386"/>
      <c r="AF115" s="386"/>
      <c r="AG115" s="386"/>
      <c r="AH115" s="386"/>
      <c r="AI115" s="386"/>
      <c r="AJ115" s="386"/>
      <c r="AK115" s="386"/>
      <c r="AL115" s="386"/>
      <c r="AN115" s="386"/>
      <c r="AO115" s="386"/>
      <c r="AP115" s="386"/>
      <c r="AQ115" s="386"/>
      <c r="AR115" s="386"/>
      <c r="AS115" s="386"/>
      <c r="AT115" s="386"/>
      <c r="AU115" s="386"/>
      <c r="AV115" s="386"/>
      <c r="AW115" s="386"/>
      <c r="AX115" s="386"/>
      <c r="AY115" s="386"/>
      <c r="AZ115" s="386"/>
      <c r="BA115" s="386"/>
      <c r="BB115" s="386"/>
      <c r="BD115" s="604"/>
      <c r="BE115" s="614"/>
      <c r="BF115" s="614"/>
      <c r="BG115" s="9"/>
      <c r="BH115" s="48"/>
      <c r="BI115" s="386"/>
      <c r="BJ115" s="386"/>
      <c r="BK115" s="386"/>
      <c r="BL115" s="386"/>
      <c r="BM115" s="386"/>
    </row>
    <row r="116" spans="8:65" x14ac:dyDescent="0.2">
      <c r="H116" s="610"/>
      <c r="I116" s="4"/>
      <c r="L116" s="4"/>
      <c r="M116" s="4"/>
      <c r="Q116" s="386"/>
      <c r="R116" s="386"/>
      <c r="S116" s="386"/>
      <c r="T116" s="386"/>
      <c r="V116" s="386"/>
      <c r="W116" s="386"/>
      <c r="X116" s="386"/>
      <c r="Y116" s="386"/>
      <c r="Z116" s="603"/>
      <c r="AA116" s="386"/>
      <c r="AB116" s="386"/>
      <c r="AC116" s="386"/>
      <c r="AE116" s="386"/>
      <c r="AF116" s="386"/>
      <c r="AG116" s="386"/>
      <c r="AH116" s="386"/>
      <c r="AI116" s="386"/>
      <c r="AJ116" s="386"/>
      <c r="AK116" s="386"/>
      <c r="AL116" s="386"/>
      <c r="AN116" s="386"/>
      <c r="AO116" s="386"/>
      <c r="AP116" s="386"/>
      <c r="AQ116" s="386"/>
      <c r="AR116" s="386"/>
      <c r="AS116" s="386"/>
      <c r="AT116" s="386"/>
      <c r="AU116" s="386"/>
      <c r="AV116" s="386"/>
      <c r="AW116" s="386"/>
      <c r="AX116" s="386"/>
      <c r="AY116" s="386"/>
      <c r="AZ116" s="386"/>
      <c r="BA116" s="386"/>
      <c r="BB116" s="386"/>
      <c r="BD116" s="604"/>
      <c r="BE116" s="614"/>
      <c r="BF116" s="614"/>
      <c r="BG116" s="9"/>
      <c r="BH116" s="48"/>
      <c r="BI116" s="386"/>
      <c r="BJ116" s="386"/>
      <c r="BK116" s="386"/>
      <c r="BL116" s="386"/>
      <c r="BM116" s="386"/>
    </row>
    <row r="117" spans="8:65" x14ac:dyDescent="0.2">
      <c r="H117" s="610"/>
      <c r="I117" s="4"/>
      <c r="L117" s="4"/>
      <c r="M117" s="4"/>
      <c r="Q117" s="386"/>
      <c r="R117" s="386"/>
      <c r="S117" s="386"/>
      <c r="T117" s="386"/>
      <c r="V117" s="386"/>
      <c r="W117" s="386"/>
      <c r="X117" s="386"/>
      <c r="Y117" s="386"/>
      <c r="Z117" s="603"/>
      <c r="AA117" s="386"/>
      <c r="AB117" s="386"/>
      <c r="AC117" s="386"/>
      <c r="AE117" s="386"/>
      <c r="AF117" s="386"/>
      <c r="AG117" s="386"/>
      <c r="AH117" s="386"/>
      <c r="AI117" s="386"/>
      <c r="AJ117" s="386"/>
      <c r="AK117" s="386"/>
      <c r="AL117" s="386"/>
      <c r="AN117" s="386"/>
      <c r="AO117" s="386"/>
      <c r="AP117" s="386"/>
      <c r="AQ117" s="386"/>
      <c r="AR117" s="386"/>
      <c r="AS117" s="386"/>
      <c r="AT117" s="386"/>
      <c r="AU117" s="386"/>
      <c r="AV117" s="386"/>
      <c r="AW117" s="386"/>
      <c r="AX117" s="386"/>
      <c r="AY117" s="386"/>
      <c r="AZ117" s="386"/>
      <c r="BA117" s="386"/>
      <c r="BB117" s="386"/>
      <c r="BD117" s="604"/>
      <c r="BE117" s="614"/>
      <c r="BF117" s="614"/>
      <c r="BG117" s="9"/>
      <c r="BH117" s="48"/>
      <c r="BI117" s="386"/>
      <c r="BJ117" s="386"/>
      <c r="BK117" s="386"/>
      <c r="BL117" s="386"/>
      <c r="BM117" s="386"/>
    </row>
    <row r="118" spans="8:65" x14ac:dyDescent="0.2">
      <c r="H118" s="610"/>
      <c r="I118" s="4"/>
      <c r="L118" s="4"/>
      <c r="M118" s="4"/>
      <c r="Q118" s="386"/>
      <c r="R118" s="386"/>
      <c r="S118" s="386"/>
      <c r="T118" s="386"/>
      <c r="V118" s="386"/>
      <c r="W118" s="386"/>
      <c r="X118" s="386"/>
      <c r="Y118" s="386"/>
      <c r="Z118" s="603"/>
      <c r="AA118" s="386"/>
      <c r="AB118" s="386"/>
      <c r="AC118" s="386"/>
      <c r="AE118" s="386"/>
      <c r="AF118" s="386"/>
      <c r="AG118" s="386"/>
      <c r="AH118" s="386"/>
      <c r="AI118" s="386"/>
      <c r="AJ118" s="386"/>
      <c r="AK118" s="386"/>
      <c r="AL118" s="386"/>
      <c r="AN118" s="386"/>
      <c r="AO118" s="386"/>
      <c r="AP118" s="386"/>
      <c r="AQ118" s="386"/>
      <c r="AR118" s="386"/>
      <c r="AS118" s="386"/>
      <c r="AT118" s="386"/>
      <c r="AU118" s="386"/>
      <c r="AV118" s="386"/>
      <c r="AW118" s="386"/>
      <c r="AX118" s="386"/>
      <c r="AY118" s="386"/>
      <c r="AZ118" s="386"/>
      <c r="BA118" s="386"/>
      <c r="BB118" s="386"/>
      <c r="BD118" s="604"/>
      <c r="BE118" s="614"/>
      <c r="BF118" s="614"/>
      <c r="BG118" s="9"/>
      <c r="BH118" s="48"/>
      <c r="BI118" s="386"/>
      <c r="BJ118" s="386"/>
      <c r="BK118" s="386"/>
      <c r="BL118" s="386"/>
      <c r="BM118" s="386"/>
    </row>
    <row r="119" spans="8:65" x14ac:dyDescent="0.2">
      <c r="H119" s="610"/>
      <c r="I119" s="4"/>
      <c r="L119" s="4"/>
      <c r="M119" s="4"/>
      <c r="Q119" s="386"/>
      <c r="R119" s="386"/>
      <c r="S119" s="386"/>
      <c r="T119" s="386"/>
      <c r="V119" s="386"/>
      <c r="W119" s="386"/>
      <c r="X119" s="386"/>
      <c r="Y119" s="386"/>
      <c r="Z119" s="603"/>
      <c r="AA119" s="386"/>
      <c r="AB119" s="386"/>
      <c r="AC119" s="386"/>
      <c r="AE119" s="386"/>
      <c r="AF119" s="386"/>
      <c r="AG119" s="386"/>
      <c r="AH119" s="386"/>
      <c r="AI119" s="386"/>
      <c r="AJ119" s="386"/>
      <c r="AK119" s="386"/>
      <c r="AL119" s="386"/>
      <c r="AN119" s="386"/>
      <c r="AO119" s="386"/>
      <c r="AP119" s="386"/>
      <c r="AQ119" s="386"/>
      <c r="AR119" s="386"/>
      <c r="AS119" s="386"/>
      <c r="AT119" s="386"/>
      <c r="AU119" s="386"/>
      <c r="AV119" s="386"/>
      <c r="AW119" s="386"/>
      <c r="AX119" s="386"/>
      <c r="AY119" s="386"/>
      <c r="AZ119" s="386"/>
      <c r="BA119" s="386"/>
      <c r="BB119" s="386"/>
      <c r="BD119" s="604"/>
      <c r="BE119" s="614"/>
      <c r="BF119" s="614"/>
      <c r="BG119" s="9"/>
      <c r="BH119" s="48"/>
      <c r="BI119" s="386"/>
      <c r="BJ119" s="386"/>
      <c r="BK119" s="386"/>
      <c r="BL119" s="386"/>
      <c r="BM119" s="386"/>
    </row>
    <row r="120" spans="8:65" x14ac:dyDescent="0.2">
      <c r="H120" s="610"/>
      <c r="I120" s="4"/>
      <c r="L120" s="4"/>
      <c r="M120" s="4"/>
      <c r="Q120" s="386"/>
      <c r="R120" s="386"/>
      <c r="S120" s="386"/>
      <c r="T120" s="386"/>
      <c r="V120" s="386"/>
      <c r="W120" s="386"/>
      <c r="X120" s="386"/>
      <c r="Y120" s="386"/>
      <c r="Z120" s="603"/>
      <c r="AA120" s="386"/>
      <c r="AB120" s="386"/>
      <c r="AC120" s="386"/>
      <c r="AE120" s="386"/>
      <c r="AF120" s="386"/>
      <c r="AG120" s="386"/>
      <c r="AH120" s="386"/>
      <c r="AI120" s="386"/>
      <c r="AJ120" s="386"/>
      <c r="AK120" s="386"/>
      <c r="AL120" s="386"/>
      <c r="AN120" s="386"/>
      <c r="AO120" s="386"/>
      <c r="AP120" s="386"/>
      <c r="AQ120" s="386"/>
      <c r="AR120" s="386"/>
      <c r="AS120" s="386"/>
      <c r="AT120" s="386"/>
      <c r="AU120" s="386"/>
      <c r="AV120" s="386"/>
      <c r="AW120" s="386"/>
      <c r="AX120" s="386"/>
      <c r="AY120" s="386"/>
      <c r="AZ120" s="386"/>
      <c r="BA120" s="386"/>
      <c r="BB120" s="386"/>
      <c r="BD120" s="604"/>
      <c r="BE120" s="614"/>
      <c r="BF120" s="614"/>
      <c r="BG120" s="9"/>
      <c r="BH120" s="48"/>
      <c r="BI120" s="386"/>
      <c r="BJ120" s="386"/>
      <c r="BK120" s="386"/>
      <c r="BL120" s="386"/>
      <c r="BM120" s="386"/>
    </row>
    <row r="121" spans="8:65" x14ac:dyDescent="0.2">
      <c r="H121" s="610"/>
      <c r="I121" s="4"/>
      <c r="L121" s="4"/>
      <c r="M121" s="4"/>
      <c r="Q121" s="386"/>
      <c r="R121" s="386"/>
      <c r="S121" s="386"/>
      <c r="T121" s="386"/>
      <c r="V121" s="386"/>
      <c r="W121" s="386"/>
      <c r="X121" s="386"/>
      <c r="Y121" s="386"/>
      <c r="Z121" s="603"/>
      <c r="AA121" s="386"/>
      <c r="AB121" s="386"/>
      <c r="AC121" s="386"/>
      <c r="AE121" s="386"/>
      <c r="AF121" s="386"/>
      <c r="AG121" s="386"/>
      <c r="AH121" s="386"/>
      <c r="AI121" s="386"/>
      <c r="AJ121" s="386"/>
      <c r="AK121" s="386"/>
      <c r="AL121" s="386"/>
      <c r="AN121" s="386"/>
      <c r="AO121" s="386"/>
      <c r="AP121" s="386"/>
      <c r="AQ121" s="386"/>
      <c r="AR121" s="386"/>
      <c r="AS121" s="386"/>
      <c r="AT121" s="386"/>
      <c r="AU121" s="386"/>
      <c r="AV121" s="386"/>
      <c r="AW121" s="386"/>
      <c r="AX121" s="386"/>
      <c r="AY121" s="386"/>
      <c r="AZ121" s="386"/>
      <c r="BA121" s="386"/>
      <c r="BB121" s="386"/>
      <c r="BD121" s="604"/>
      <c r="BE121" s="614"/>
      <c r="BF121" s="614"/>
      <c r="BG121" s="9"/>
      <c r="BH121" s="48"/>
      <c r="BI121" s="386"/>
      <c r="BJ121" s="386"/>
      <c r="BK121" s="386"/>
      <c r="BL121" s="386"/>
      <c r="BM121" s="386"/>
    </row>
    <row r="122" spans="8:65" x14ac:dyDescent="0.2">
      <c r="H122" s="610"/>
      <c r="I122" s="4"/>
      <c r="L122" s="4"/>
      <c r="M122" s="4"/>
      <c r="Q122" s="386"/>
      <c r="R122" s="386"/>
      <c r="S122" s="386"/>
      <c r="T122" s="386"/>
      <c r="V122" s="386"/>
      <c r="W122" s="386"/>
      <c r="X122" s="386"/>
      <c r="Y122" s="386"/>
      <c r="Z122" s="603"/>
      <c r="AA122" s="386"/>
      <c r="AB122" s="386"/>
      <c r="AC122" s="386"/>
      <c r="AE122" s="386"/>
      <c r="AF122" s="386"/>
      <c r="AG122" s="386"/>
      <c r="AH122" s="386"/>
      <c r="AI122" s="386"/>
      <c r="AJ122" s="386"/>
      <c r="AK122" s="386"/>
      <c r="AL122" s="386"/>
      <c r="AN122" s="386"/>
      <c r="AO122" s="386"/>
      <c r="AP122" s="386"/>
      <c r="AQ122" s="386"/>
      <c r="AR122" s="386"/>
      <c r="AS122" s="386"/>
      <c r="AT122" s="386"/>
      <c r="AU122" s="386"/>
      <c r="AV122" s="386"/>
      <c r="AW122" s="386"/>
      <c r="AX122" s="386"/>
      <c r="AY122" s="386"/>
      <c r="AZ122" s="386"/>
      <c r="BA122" s="386"/>
      <c r="BB122" s="386"/>
      <c r="BD122" s="604"/>
      <c r="BE122" s="614"/>
      <c r="BF122" s="614"/>
      <c r="BG122" s="9"/>
      <c r="BH122" s="48"/>
      <c r="BI122" s="386"/>
      <c r="BJ122" s="386"/>
      <c r="BK122" s="386"/>
      <c r="BL122" s="386"/>
      <c r="BM122" s="386"/>
    </row>
    <row r="123" spans="8:65" x14ac:dyDescent="0.2">
      <c r="H123" s="610"/>
      <c r="I123" s="4"/>
      <c r="L123" s="4"/>
      <c r="M123" s="4"/>
      <c r="Q123" s="386"/>
      <c r="R123" s="386"/>
      <c r="S123" s="386"/>
      <c r="T123" s="386"/>
      <c r="V123" s="386"/>
      <c r="W123" s="386"/>
      <c r="X123" s="386"/>
      <c r="Y123" s="386"/>
      <c r="Z123" s="603"/>
      <c r="AA123" s="386"/>
      <c r="AB123" s="386"/>
      <c r="AC123" s="386"/>
      <c r="AE123" s="386"/>
      <c r="AF123" s="386"/>
      <c r="AG123" s="386"/>
      <c r="AH123" s="386"/>
      <c r="AI123" s="386"/>
      <c r="AJ123" s="386"/>
      <c r="AK123" s="386"/>
      <c r="AL123" s="386"/>
      <c r="AN123" s="386"/>
      <c r="AO123" s="386"/>
      <c r="AP123" s="386"/>
      <c r="AQ123" s="386"/>
      <c r="AR123" s="386"/>
      <c r="AS123" s="386"/>
      <c r="AT123" s="386"/>
      <c r="AU123" s="386"/>
      <c r="AV123" s="386"/>
      <c r="AW123" s="386"/>
      <c r="AX123" s="386"/>
      <c r="AY123" s="386"/>
      <c r="AZ123" s="386"/>
      <c r="BA123" s="386"/>
      <c r="BB123" s="386"/>
      <c r="BD123" s="604"/>
      <c r="BE123" s="614"/>
      <c r="BF123" s="614"/>
      <c r="BG123" s="9"/>
      <c r="BH123" s="48"/>
      <c r="BI123" s="386"/>
      <c r="BJ123" s="386"/>
      <c r="BK123" s="386"/>
      <c r="BL123" s="386"/>
      <c r="BM123" s="386"/>
    </row>
    <row r="124" spans="8:65" x14ac:dyDescent="0.2">
      <c r="H124" s="610"/>
      <c r="I124" s="4"/>
      <c r="L124" s="4"/>
      <c r="M124" s="4"/>
      <c r="Q124" s="386"/>
      <c r="R124" s="386"/>
      <c r="S124" s="386"/>
      <c r="T124" s="386"/>
      <c r="V124" s="386"/>
      <c r="W124" s="386"/>
      <c r="X124" s="386"/>
      <c r="Y124" s="386"/>
      <c r="Z124" s="603"/>
      <c r="AA124" s="386"/>
      <c r="AB124" s="386"/>
      <c r="AC124" s="386"/>
      <c r="AE124" s="386"/>
      <c r="AF124" s="386"/>
      <c r="AG124" s="386"/>
      <c r="AH124" s="386"/>
      <c r="AI124" s="386"/>
      <c r="AJ124" s="386"/>
      <c r="AK124" s="386"/>
      <c r="AL124" s="386"/>
      <c r="AN124" s="386"/>
      <c r="AO124" s="386"/>
      <c r="AP124" s="386"/>
      <c r="AQ124" s="386"/>
      <c r="AR124" s="386"/>
      <c r="AS124" s="386"/>
      <c r="AT124" s="386"/>
      <c r="AU124" s="386"/>
      <c r="AV124" s="386"/>
      <c r="AW124" s="386"/>
      <c r="AX124" s="386"/>
      <c r="AY124" s="386"/>
      <c r="AZ124" s="386"/>
      <c r="BA124" s="386"/>
      <c r="BB124" s="386"/>
      <c r="BD124" s="604"/>
      <c r="BE124" s="614"/>
      <c r="BF124" s="614"/>
      <c r="BG124" s="9"/>
      <c r="BH124" s="48"/>
      <c r="BI124" s="386"/>
      <c r="BJ124" s="386"/>
      <c r="BK124" s="386"/>
      <c r="BL124" s="386"/>
      <c r="BM124" s="386"/>
    </row>
    <row r="125" spans="8:65" x14ac:dyDescent="0.2">
      <c r="H125" s="610"/>
      <c r="I125" s="4"/>
      <c r="L125" s="4"/>
      <c r="M125" s="4"/>
      <c r="Q125" s="386"/>
      <c r="R125" s="386"/>
      <c r="S125" s="386"/>
      <c r="T125" s="386"/>
      <c r="V125" s="386"/>
      <c r="W125" s="386"/>
      <c r="X125" s="386"/>
      <c r="Y125" s="386"/>
      <c r="Z125" s="603"/>
      <c r="AA125" s="386"/>
      <c r="AB125" s="386"/>
      <c r="AC125" s="386"/>
      <c r="AE125" s="386"/>
      <c r="AF125" s="386"/>
      <c r="AG125" s="386"/>
      <c r="AH125" s="386"/>
      <c r="AI125" s="386"/>
      <c r="AJ125" s="386"/>
      <c r="AK125" s="386"/>
      <c r="AL125" s="386"/>
      <c r="AN125" s="386"/>
      <c r="AO125" s="386"/>
      <c r="AP125" s="386"/>
      <c r="AQ125" s="386"/>
      <c r="AR125" s="386"/>
      <c r="AS125" s="386"/>
      <c r="AT125" s="386"/>
      <c r="AU125" s="386"/>
      <c r="AV125" s="386"/>
      <c r="AW125" s="386"/>
      <c r="AX125" s="386"/>
      <c r="AY125" s="386"/>
      <c r="AZ125" s="386"/>
      <c r="BA125" s="386"/>
      <c r="BB125" s="386"/>
      <c r="BD125" s="604"/>
      <c r="BE125" s="614"/>
      <c r="BF125" s="614"/>
      <c r="BG125" s="9"/>
      <c r="BH125" s="48"/>
      <c r="BI125" s="386"/>
      <c r="BJ125" s="386"/>
      <c r="BK125" s="386"/>
      <c r="BL125" s="386"/>
      <c r="BM125" s="386"/>
    </row>
    <row r="126" spans="8:65" x14ac:dyDescent="0.2">
      <c r="H126" s="610"/>
      <c r="I126" s="4"/>
      <c r="L126" s="4"/>
      <c r="M126" s="4"/>
      <c r="Q126" s="386"/>
      <c r="R126" s="386"/>
      <c r="S126" s="386"/>
      <c r="T126" s="386"/>
      <c r="V126" s="386"/>
      <c r="W126" s="386"/>
      <c r="X126" s="386"/>
      <c r="Y126" s="386"/>
      <c r="Z126" s="603"/>
      <c r="AA126" s="386"/>
      <c r="AB126" s="386"/>
      <c r="AC126" s="386"/>
      <c r="AE126" s="386"/>
      <c r="AF126" s="386"/>
      <c r="AG126" s="386"/>
      <c r="AH126" s="386"/>
      <c r="AI126" s="386"/>
      <c r="AJ126" s="386"/>
      <c r="AK126" s="386"/>
      <c r="AL126" s="386"/>
      <c r="AN126" s="386"/>
      <c r="AO126" s="386"/>
      <c r="AP126" s="386"/>
      <c r="AQ126" s="386"/>
      <c r="AR126" s="386"/>
      <c r="AS126" s="386"/>
      <c r="AT126" s="386"/>
      <c r="AU126" s="386"/>
      <c r="AV126" s="386"/>
      <c r="AW126" s="386"/>
      <c r="AX126" s="386"/>
      <c r="AY126" s="386"/>
      <c r="AZ126" s="386"/>
      <c r="BA126" s="386"/>
      <c r="BB126" s="386"/>
      <c r="BD126" s="604"/>
      <c r="BE126" s="614"/>
      <c r="BF126" s="614"/>
      <c r="BG126" s="9"/>
      <c r="BH126" s="48"/>
      <c r="BI126" s="386"/>
      <c r="BJ126" s="386"/>
      <c r="BK126" s="386"/>
      <c r="BL126" s="386"/>
      <c r="BM126" s="386"/>
    </row>
    <row r="127" spans="8:65" x14ac:dyDescent="0.2">
      <c r="H127" s="610"/>
      <c r="I127" s="4"/>
      <c r="L127" s="4"/>
      <c r="M127" s="4"/>
      <c r="Q127" s="386"/>
      <c r="R127" s="386"/>
      <c r="S127" s="386"/>
      <c r="T127" s="386"/>
      <c r="V127" s="386"/>
      <c r="W127" s="386"/>
      <c r="X127" s="386"/>
      <c r="Y127" s="386"/>
      <c r="Z127" s="603"/>
      <c r="AA127" s="386"/>
      <c r="AB127" s="386"/>
      <c r="AC127" s="386"/>
      <c r="AE127" s="386"/>
      <c r="AF127" s="386"/>
      <c r="AG127" s="386"/>
      <c r="AH127" s="386"/>
      <c r="AI127" s="386"/>
      <c r="AJ127" s="386"/>
      <c r="AK127" s="386"/>
      <c r="AL127" s="386"/>
      <c r="AN127" s="386"/>
      <c r="AO127" s="386"/>
      <c r="AP127" s="386"/>
      <c r="AQ127" s="386"/>
      <c r="AR127" s="386"/>
      <c r="AS127" s="386"/>
      <c r="AT127" s="386"/>
      <c r="AU127" s="386"/>
      <c r="AV127" s="386"/>
      <c r="AW127" s="386"/>
      <c r="AX127" s="386"/>
      <c r="AY127" s="386"/>
      <c r="AZ127" s="386"/>
      <c r="BA127" s="386"/>
      <c r="BB127" s="386"/>
      <c r="BD127" s="604"/>
      <c r="BE127" s="614"/>
      <c r="BF127" s="614"/>
      <c r="BG127" s="9"/>
      <c r="BH127" s="48"/>
      <c r="BI127" s="386"/>
      <c r="BJ127" s="386"/>
      <c r="BK127" s="386"/>
      <c r="BL127" s="386"/>
      <c r="BM127" s="386"/>
    </row>
    <row r="128" spans="8:65" x14ac:dyDescent="0.2">
      <c r="H128" s="610"/>
      <c r="I128" s="4"/>
      <c r="L128" s="4"/>
      <c r="M128" s="4"/>
      <c r="Q128" s="386"/>
      <c r="R128" s="386"/>
      <c r="S128" s="386"/>
      <c r="T128" s="386"/>
      <c r="V128" s="386"/>
      <c r="W128" s="386"/>
      <c r="X128" s="386"/>
      <c r="Y128" s="386"/>
      <c r="Z128" s="603"/>
      <c r="AA128" s="386"/>
      <c r="AB128" s="386"/>
      <c r="AC128" s="386"/>
      <c r="AE128" s="386"/>
      <c r="AF128" s="386"/>
      <c r="AG128" s="386"/>
      <c r="AH128" s="386"/>
      <c r="AI128" s="386"/>
      <c r="AJ128" s="386"/>
      <c r="AK128" s="386"/>
      <c r="AL128" s="386"/>
      <c r="AN128" s="386"/>
      <c r="AO128" s="386"/>
      <c r="AP128" s="386"/>
      <c r="AQ128" s="386"/>
      <c r="AR128" s="386"/>
      <c r="AS128" s="386"/>
      <c r="AT128" s="386"/>
      <c r="AU128" s="386"/>
      <c r="AV128" s="386"/>
      <c r="AW128" s="386"/>
      <c r="AX128" s="386"/>
      <c r="AY128" s="386"/>
      <c r="AZ128" s="386"/>
      <c r="BA128" s="386"/>
      <c r="BB128" s="386"/>
      <c r="BD128" s="604"/>
      <c r="BE128" s="614"/>
      <c r="BF128" s="614"/>
      <c r="BG128" s="9"/>
      <c r="BH128" s="48"/>
      <c r="BI128" s="386"/>
      <c r="BJ128" s="386"/>
      <c r="BK128" s="386"/>
      <c r="BL128" s="386"/>
      <c r="BM128" s="386"/>
    </row>
    <row r="129" spans="8:65" x14ac:dyDescent="0.2">
      <c r="H129" s="610"/>
      <c r="I129" s="4"/>
      <c r="L129" s="4"/>
      <c r="M129" s="4"/>
      <c r="Q129" s="386"/>
      <c r="R129" s="386"/>
      <c r="S129" s="386"/>
      <c r="T129" s="386"/>
      <c r="V129" s="386"/>
      <c r="W129" s="386"/>
      <c r="X129" s="386"/>
      <c r="Y129" s="386"/>
      <c r="Z129" s="603"/>
      <c r="AA129" s="386"/>
      <c r="AB129" s="386"/>
      <c r="AC129" s="386"/>
      <c r="AE129" s="386"/>
      <c r="AF129" s="386"/>
      <c r="AG129" s="386"/>
      <c r="AH129" s="386"/>
      <c r="AI129" s="386"/>
      <c r="AJ129" s="386"/>
      <c r="AK129" s="386"/>
      <c r="AL129" s="386"/>
      <c r="AN129" s="386"/>
      <c r="AO129" s="386"/>
      <c r="AP129" s="386"/>
      <c r="AQ129" s="386"/>
      <c r="AR129" s="386"/>
      <c r="AS129" s="386"/>
      <c r="AT129" s="386"/>
      <c r="AU129" s="386"/>
      <c r="AV129" s="386"/>
      <c r="AW129" s="386"/>
      <c r="AX129" s="386"/>
      <c r="AY129" s="386"/>
      <c r="AZ129" s="386"/>
      <c r="BA129" s="386"/>
      <c r="BB129" s="386"/>
      <c r="BD129" s="604"/>
      <c r="BE129" s="614"/>
      <c r="BF129" s="614"/>
      <c r="BG129" s="9"/>
      <c r="BH129" s="48"/>
      <c r="BI129" s="386"/>
      <c r="BJ129" s="386"/>
      <c r="BK129" s="386"/>
      <c r="BL129" s="386"/>
      <c r="BM129" s="386"/>
    </row>
    <row r="130" spans="8:65" x14ac:dyDescent="0.2">
      <c r="H130" s="610"/>
      <c r="I130" s="4"/>
      <c r="L130" s="4"/>
      <c r="M130" s="4"/>
      <c r="Q130" s="386"/>
      <c r="R130" s="386"/>
      <c r="S130" s="386"/>
      <c r="T130" s="386"/>
      <c r="V130" s="386"/>
      <c r="W130" s="386"/>
      <c r="X130" s="386"/>
      <c r="Y130" s="386"/>
      <c r="Z130" s="603"/>
      <c r="AA130" s="386"/>
      <c r="AB130" s="386"/>
      <c r="AC130" s="386"/>
      <c r="AE130" s="386"/>
      <c r="AF130" s="386"/>
      <c r="AG130" s="386"/>
      <c r="AH130" s="386"/>
      <c r="AI130" s="386"/>
      <c r="AJ130" s="386"/>
      <c r="AK130" s="386"/>
      <c r="AL130" s="386"/>
      <c r="AN130" s="386"/>
      <c r="AO130" s="386"/>
      <c r="AP130" s="386"/>
      <c r="AQ130" s="386"/>
      <c r="AR130" s="386"/>
      <c r="AS130" s="386"/>
      <c r="AT130" s="386"/>
      <c r="AU130" s="386"/>
      <c r="AV130" s="386"/>
      <c r="AW130" s="386"/>
      <c r="AX130" s="386"/>
      <c r="AY130" s="386"/>
      <c r="AZ130" s="386"/>
      <c r="BA130" s="386"/>
      <c r="BB130" s="386"/>
      <c r="BD130" s="604"/>
      <c r="BE130" s="614"/>
      <c r="BF130" s="614"/>
      <c r="BG130" s="9"/>
      <c r="BH130" s="48"/>
      <c r="BI130" s="386"/>
      <c r="BJ130" s="386"/>
      <c r="BK130" s="386"/>
      <c r="BL130" s="386"/>
      <c r="BM130" s="386"/>
    </row>
    <row r="131" spans="8:65" x14ac:dyDescent="0.2">
      <c r="H131" s="610"/>
      <c r="I131" s="4"/>
      <c r="L131" s="4"/>
      <c r="M131" s="4"/>
      <c r="Q131" s="386"/>
      <c r="R131" s="386"/>
      <c r="S131" s="386"/>
      <c r="T131" s="386"/>
      <c r="V131" s="386"/>
      <c r="W131" s="386"/>
      <c r="X131" s="386"/>
      <c r="Y131" s="386"/>
      <c r="Z131" s="603"/>
      <c r="AA131" s="386"/>
      <c r="AB131" s="386"/>
      <c r="AC131" s="386"/>
      <c r="AE131" s="386"/>
      <c r="AF131" s="386"/>
      <c r="AG131" s="386"/>
      <c r="AH131" s="386"/>
      <c r="AI131" s="386"/>
      <c r="AJ131" s="386"/>
      <c r="AK131" s="386"/>
      <c r="AL131" s="386"/>
      <c r="AN131" s="386"/>
      <c r="AO131" s="386"/>
      <c r="AP131" s="386"/>
      <c r="AQ131" s="386"/>
      <c r="AR131" s="386"/>
      <c r="AS131" s="386"/>
      <c r="AT131" s="386"/>
      <c r="AU131" s="386"/>
      <c r="AV131" s="386"/>
      <c r="AW131" s="386"/>
      <c r="AX131" s="386"/>
      <c r="AY131" s="386"/>
      <c r="AZ131" s="386"/>
      <c r="BA131" s="386"/>
      <c r="BB131" s="386"/>
      <c r="BD131" s="604"/>
      <c r="BE131" s="614"/>
      <c r="BF131" s="614"/>
      <c r="BG131" s="9"/>
      <c r="BH131" s="48"/>
      <c r="BI131" s="386"/>
      <c r="BJ131" s="386"/>
      <c r="BK131" s="386"/>
      <c r="BL131" s="386"/>
      <c r="BM131" s="386"/>
    </row>
    <row r="132" spans="8:65" x14ac:dyDescent="0.2">
      <c r="H132" s="610"/>
      <c r="I132" s="4"/>
      <c r="L132" s="4"/>
      <c r="M132" s="4"/>
      <c r="Q132" s="386"/>
      <c r="R132" s="386"/>
      <c r="S132" s="386"/>
      <c r="T132" s="386"/>
      <c r="V132" s="386"/>
      <c r="W132" s="386"/>
      <c r="X132" s="386"/>
      <c r="Y132" s="386"/>
      <c r="Z132" s="603"/>
      <c r="AA132" s="386"/>
      <c r="AB132" s="386"/>
      <c r="AC132" s="386"/>
      <c r="AE132" s="386"/>
      <c r="AF132" s="386"/>
      <c r="AG132" s="386"/>
      <c r="AH132" s="386"/>
      <c r="AI132" s="386"/>
      <c r="AJ132" s="386"/>
      <c r="AK132" s="386"/>
      <c r="AL132" s="386"/>
      <c r="AN132" s="386"/>
      <c r="AO132" s="386"/>
      <c r="AP132" s="386"/>
      <c r="AQ132" s="386"/>
      <c r="AR132" s="386"/>
      <c r="AS132" s="386"/>
      <c r="AT132" s="386"/>
      <c r="AU132" s="386"/>
      <c r="AV132" s="386"/>
      <c r="AW132" s="386"/>
      <c r="AX132" s="386"/>
      <c r="AY132" s="386"/>
      <c r="AZ132" s="386"/>
      <c r="BA132" s="386"/>
      <c r="BB132" s="386"/>
      <c r="BD132" s="604"/>
      <c r="BE132" s="614"/>
      <c r="BF132" s="614"/>
      <c r="BG132" s="9"/>
      <c r="BH132" s="48"/>
      <c r="BI132" s="386"/>
      <c r="BJ132" s="386"/>
      <c r="BK132" s="386"/>
      <c r="BL132" s="386"/>
      <c r="BM132" s="386"/>
    </row>
    <row r="133" spans="8:65" x14ac:dyDescent="0.2">
      <c r="H133" s="610"/>
      <c r="I133" s="4"/>
      <c r="L133" s="4"/>
      <c r="M133" s="4"/>
      <c r="Q133" s="386"/>
      <c r="R133" s="386"/>
      <c r="S133" s="386"/>
      <c r="T133" s="386"/>
      <c r="V133" s="386"/>
      <c r="W133" s="386"/>
      <c r="X133" s="386"/>
      <c r="Y133" s="386"/>
      <c r="Z133" s="603"/>
      <c r="AA133" s="386"/>
      <c r="AB133" s="386"/>
      <c r="AC133" s="386"/>
      <c r="AE133" s="386"/>
      <c r="AF133" s="386"/>
      <c r="AG133" s="386"/>
      <c r="AH133" s="386"/>
      <c r="AI133" s="386"/>
      <c r="AJ133" s="386"/>
      <c r="AK133" s="386"/>
      <c r="AL133" s="386"/>
      <c r="AN133" s="386"/>
      <c r="AO133" s="386"/>
      <c r="AP133" s="386"/>
      <c r="AQ133" s="386"/>
      <c r="AR133" s="386"/>
      <c r="AS133" s="386"/>
      <c r="AT133" s="386"/>
      <c r="AU133" s="386"/>
      <c r="AV133" s="386"/>
      <c r="AW133" s="386"/>
      <c r="AX133" s="386"/>
      <c r="AY133" s="386"/>
      <c r="AZ133" s="386"/>
      <c r="BA133" s="386"/>
      <c r="BB133" s="386"/>
      <c r="BD133" s="604"/>
      <c r="BE133" s="614"/>
      <c r="BF133" s="614"/>
      <c r="BG133" s="9"/>
      <c r="BH133" s="48"/>
      <c r="BI133" s="386"/>
      <c r="BJ133" s="386"/>
      <c r="BK133" s="386"/>
      <c r="BL133" s="386"/>
      <c r="BM133" s="386"/>
    </row>
    <row r="134" spans="8:65" x14ac:dyDescent="0.2">
      <c r="H134" s="610"/>
      <c r="I134" s="4"/>
      <c r="L134" s="4"/>
      <c r="M134" s="4"/>
      <c r="Q134" s="386"/>
      <c r="R134" s="386"/>
      <c r="S134" s="386"/>
      <c r="T134" s="386"/>
      <c r="V134" s="386"/>
      <c r="W134" s="386"/>
      <c r="X134" s="386"/>
      <c r="Y134" s="386"/>
      <c r="Z134" s="603"/>
      <c r="AA134" s="386"/>
      <c r="AB134" s="386"/>
      <c r="AC134" s="386"/>
      <c r="AE134" s="386"/>
      <c r="AF134" s="386"/>
      <c r="AG134" s="386"/>
      <c r="AH134" s="386"/>
      <c r="AI134" s="386"/>
      <c r="AJ134" s="386"/>
      <c r="AK134" s="386"/>
      <c r="AL134" s="386"/>
      <c r="AN134" s="386"/>
      <c r="AO134" s="386"/>
      <c r="AP134" s="386"/>
      <c r="AQ134" s="386"/>
      <c r="AR134" s="386"/>
      <c r="AS134" s="386"/>
      <c r="AT134" s="386"/>
      <c r="AU134" s="386"/>
      <c r="AV134" s="386"/>
      <c r="AW134" s="386"/>
      <c r="AX134" s="386"/>
      <c r="AY134" s="386"/>
      <c r="AZ134" s="386"/>
      <c r="BA134" s="386"/>
      <c r="BB134" s="386"/>
      <c r="BD134" s="604"/>
      <c r="BE134" s="614"/>
      <c r="BF134" s="614"/>
      <c r="BG134" s="9"/>
      <c r="BH134" s="48"/>
      <c r="BI134" s="386"/>
      <c r="BJ134" s="386"/>
      <c r="BK134" s="386"/>
      <c r="BL134" s="386"/>
      <c r="BM134" s="386"/>
    </row>
    <row r="135" spans="8:65" x14ac:dyDescent="0.2">
      <c r="H135" s="610"/>
      <c r="I135" s="4"/>
      <c r="L135" s="4"/>
      <c r="M135" s="4"/>
      <c r="Q135" s="386"/>
      <c r="R135" s="386"/>
      <c r="S135" s="386"/>
      <c r="T135" s="386"/>
      <c r="V135" s="386"/>
      <c r="W135" s="386"/>
      <c r="X135" s="386"/>
      <c r="Y135" s="386"/>
      <c r="Z135" s="603"/>
      <c r="AA135" s="386"/>
      <c r="AB135" s="386"/>
      <c r="AC135" s="386"/>
      <c r="AE135" s="386"/>
      <c r="AF135" s="386"/>
      <c r="AG135" s="386"/>
      <c r="AH135" s="386"/>
      <c r="AI135" s="386"/>
      <c r="AJ135" s="386"/>
      <c r="AK135" s="386"/>
      <c r="AL135" s="386"/>
      <c r="AN135" s="386"/>
      <c r="AO135" s="386"/>
      <c r="AP135" s="386"/>
      <c r="AQ135" s="386"/>
      <c r="AR135" s="386"/>
      <c r="AS135" s="386"/>
      <c r="AT135" s="386"/>
      <c r="AU135" s="386"/>
      <c r="AV135" s="386"/>
      <c r="AW135" s="386"/>
      <c r="AX135" s="386"/>
      <c r="AY135" s="386"/>
      <c r="AZ135" s="386"/>
      <c r="BA135" s="386"/>
      <c r="BB135" s="386"/>
      <c r="BD135" s="604"/>
      <c r="BE135" s="614"/>
      <c r="BF135" s="614"/>
      <c r="BG135" s="9"/>
      <c r="BH135" s="48"/>
      <c r="BI135" s="386"/>
      <c r="BJ135" s="386"/>
      <c r="BK135" s="386"/>
      <c r="BL135" s="386"/>
      <c r="BM135" s="386"/>
    </row>
    <row r="136" spans="8:65" x14ac:dyDescent="0.2">
      <c r="H136" s="610"/>
      <c r="I136" s="4"/>
      <c r="L136" s="4"/>
      <c r="M136" s="4"/>
      <c r="Q136" s="386"/>
      <c r="R136" s="386"/>
      <c r="S136" s="386"/>
      <c r="T136" s="386"/>
      <c r="V136" s="386"/>
      <c r="W136" s="386"/>
      <c r="X136" s="386"/>
      <c r="Y136" s="386"/>
      <c r="Z136" s="603"/>
      <c r="AA136" s="386"/>
      <c r="AB136" s="386"/>
      <c r="AC136" s="386"/>
      <c r="AE136" s="386"/>
      <c r="AF136" s="386"/>
      <c r="AG136" s="386"/>
      <c r="AH136" s="386"/>
      <c r="AI136" s="386"/>
      <c r="AJ136" s="386"/>
      <c r="AK136" s="386"/>
      <c r="AL136" s="386"/>
      <c r="AN136" s="386"/>
      <c r="AO136" s="386"/>
      <c r="AP136" s="386"/>
      <c r="AQ136" s="386"/>
      <c r="AR136" s="386"/>
      <c r="AS136" s="386"/>
      <c r="AT136" s="386"/>
      <c r="AU136" s="386"/>
      <c r="AV136" s="386"/>
      <c r="AW136" s="386"/>
      <c r="AX136" s="386"/>
      <c r="AY136" s="386"/>
      <c r="AZ136" s="386"/>
      <c r="BA136" s="386"/>
      <c r="BB136" s="386"/>
      <c r="BD136" s="604"/>
      <c r="BE136" s="614"/>
      <c r="BF136" s="614"/>
      <c r="BG136" s="9"/>
      <c r="BH136" s="48"/>
      <c r="BI136" s="386"/>
      <c r="BJ136" s="386"/>
      <c r="BK136" s="386"/>
      <c r="BL136" s="386"/>
      <c r="BM136" s="386"/>
    </row>
    <row r="137" spans="8:65" x14ac:dyDescent="0.2">
      <c r="H137" s="610"/>
      <c r="I137" s="4"/>
      <c r="L137" s="4"/>
      <c r="M137" s="4"/>
      <c r="Q137" s="386"/>
      <c r="R137" s="386"/>
      <c r="S137" s="386"/>
      <c r="T137" s="386"/>
      <c r="V137" s="386"/>
      <c r="W137" s="386"/>
      <c r="X137" s="386"/>
      <c r="Y137" s="386"/>
      <c r="Z137" s="603"/>
      <c r="AA137" s="386"/>
      <c r="AB137" s="386"/>
      <c r="AC137" s="386"/>
      <c r="AE137" s="386"/>
      <c r="AF137" s="386"/>
      <c r="AG137" s="386"/>
      <c r="AH137" s="386"/>
      <c r="AI137" s="386"/>
      <c r="AJ137" s="386"/>
      <c r="AK137" s="386"/>
      <c r="AL137" s="386"/>
      <c r="AN137" s="386"/>
      <c r="AO137" s="386"/>
      <c r="AP137" s="386"/>
      <c r="AQ137" s="386"/>
      <c r="AR137" s="386"/>
      <c r="AS137" s="386"/>
      <c r="AT137" s="386"/>
      <c r="AU137" s="386"/>
      <c r="AV137" s="386"/>
      <c r="AW137" s="386"/>
      <c r="AX137" s="386"/>
      <c r="AY137" s="386"/>
      <c r="AZ137" s="386"/>
      <c r="BA137" s="386"/>
      <c r="BB137" s="386"/>
      <c r="BD137" s="604"/>
      <c r="BE137" s="614"/>
      <c r="BF137" s="614"/>
      <c r="BG137" s="9"/>
      <c r="BH137" s="48"/>
      <c r="BI137" s="386"/>
      <c r="BJ137" s="386"/>
      <c r="BK137" s="386"/>
      <c r="BL137" s="386"/>
      <c r="BM137" s="386"/>
    </row>
    <row r="138" spans="8:65" x14ac:dyDescent="0.2">
      <c r="H138" s="610"/>
      <c r="I138" s="4"/>
      <c r="L138" s="4"/>
      <c r="M138" s="4"/>
      <c r="Q138" s="386"/>
      <c r="R138" s="386"/>
      <c r="S138" s="386"/>
      <c r="T138" s="386"/>
      <c r="V138" s="386"/>
      <c r="W138" s="386"/>
      <c r="X138" s="386"/>
      <c r="Y138" s="386"/>
      <c r="Z138" s="603"/>
      <c r="AA138" s="386"/>
      <c r="AB138" s="386"/>
      <c r="AC138" s="386"/>
      <c r="AE138" s="386"/>
      <c r="AF138" s="386"/>
      <c r="AG138" s="386"/>
      <c r="AH138" s="386"/>
      <c r="AI138" s="386"/>
      <c r="AJ138" s="386"/>
      <c r="AK138" s="386"/>
      <c r="AL138" s="386"/>
      <c r="AN138" s="386"/>
      <c r="AO138" s="386"/>
      <c r="AP138" s="386"/>
      <c r="AQ138" s="386"/>
      <c r="AR138" s="386"/>
      <c r="AS138" s="386"/>
      <c r="AT138" s="386"/>
      <c r="AU138" s="386"/>
      <c r="AV138" s="386"/>
      <c r="AW138" s="386"/>
      <c r="AX138" s="386"/>
      <c r="AY138" s="386"/>
      <c r="AZ138" s="386"/>
      <c r="BA138" s="386"/>
      <c r="BB138" s="386"/>
      <c r="BD138" s="604"/>
      <c r="BE138" s="614"/>
      <c r="BF138" s="614"/>
      <c r="BG138" s="9"/>
      <c r="BH138" s="48"/>
      <c r="BI138" s="386"/>
      <c r="BJ138" s="386"/>
      <c r="BK138" s="386"/>
      <c r="BL138" s="386"/>
      <c r="BM138" s="386"/>
    </row>
    <row r="139" spans="8:65" x14ac:dyDescent="0.2">
      <c r="H139" s="610"/>
      <c r="I139" s="4"/>
      <c r="L139" s="4"/>
      <c r="M139" s="4"/>
      <c r="Q139" s="386"/>
      <c r="R139" s="386"/>
      <c r="S139" s="386"/>
      <c r="T139" s="386"/>
      <c r="V139" s="386"/>
      <c r="W139" s="386"/>
      <c r="X139" s="386"/>
      <c r="Y139" s="386"/>
      <c r="Z139" s="603"/>
      <c r="AA139" s="386"/>
      <c r="AB139" s="386"/>
      <c r="AC139" s="386"/>
      <c r="AE139" s="386"/>
      <c r="AF139" s="386"/>
      <c r="AG139" s="386"/>
      <c r="AH139" s="386"/>
      <c r="AI139" s="386"/>
      <c r="AJ139" s="386"/>
      <c r="AK139" s="386"/>
      <c r="AL139" s="386"/>
      <c r="AN139" s="386"/>
      <c r="AO139" s="386"/>
      <c r="AP139" s="386"/>
      <c r="AQ139" s="386"/>
      <c r="AR139" s="386"/>
      <c r="AS139" s="386"/>
      <c r="AT139" s="386"/>
      <c r="AU139" s="386"/>
      <c r="AV139" s="386"/>
      <c r="AW139" s="386"/>
      <c r="AX139" s="386"/>
      <c r="AY139" s="386"/>
      <c r="AZ139" s="386"/>
      <c r="BA139" s="386"/>
      <c r="BB139" s="386"/>
      <c r="BD139" s="604"/>
      <c r="BE139" s="614"/>
      <c r="BF139" s="614"/>
      <c r="BG139" s="9"/>
      <c r="BH139" s="48"/>
      <c r="BI139" s="386"/>
      <c r="BJ139" s="386"/>
      <c r="BK139" s="386"/>
      <c r="BL139" s="386"/>
      <c r="BM139" s="386"/>
    </row>
    <row r="140" spans="8:65" x14ac:dyDescent="0.2">
      <c r="H140" s="610"/>
      <c r="I140" s="4"/>
      <c r="L140" s="4"/>
      <c r="M140" s="4"/>
      <c r="Q140" s="386"/>
      <c r="R140" s="386"/>
      <c r="S140" s="386"/>
      <c r="T140" s="386"/>
      <c r="V140" s="386"/>
      <c r="W140" s="386"/>
      <c r="X140" s="386"/>
      <c r="Y140" s="386"/>
      <c r="Z140" s="603"/>
      <c r="AA140" s="386"/>
      <c r="AB140" s="386"/>
      <c r="AC140" s="386"/>
      <c r="AE140" s="386"/>
      <c r="AF140" s="386"/>
      <c r="AG140" s="386"/>
      <c r="AH140" s="386"/>
      <c r="AI140" s="386"/>
      <c r="AJ140" s="386"/>
      <c r="AK140" s="386"/>
      <c r="AL140" s="386"/>
      <c r="AN140" s="386"/>
      <c r="AO140" s="386"/>
      <c r="AP140" s="386"/>
      <c r="AQ140" s="386"/>
      <c r="AR140" s="386"/>
      <c r="AS140" s="386"/>
      <c r="AT140" s="386"/>
      <c r="AU140" s="386"/>
      <c r="AV140" s="386"/>
      <c r="AW140" s="386"/>
      <c r="AX140" s="386"/>
      <c r="AY140" s="386"/>
      <c r="AZ140" s="386"/>
      <c r="BA140" s="386"/>
      <c r="BB140" s="386"/>
      <c r="BD140" s="604"/>
      <c r="BE140" s="614"/>
      <c r="BF140" s="614"/>
      <c r="BG140" s="9"/>
      <c r="BH140" s="48"/>
      <c r="BI140" s="386"/>
      <c r="BJ140" s="386"/>
      <c r="BK140" s="386"/>
      <c r="BL140" s="386"/>
      <c r="BM140" s="386"/>
    </row>
    <row r="141" spans="8:65" x14ac:dyDescent="0.2">
      <c r="H141" s="610"/>
      <c r="I141" s="4"/>
      <c r="L141" s="4"/>
      <c r="M141" s="4"/>
      <c r="Q141" s="386"/>
      <c r="R141" s="386"/>
      <c r="S141" s="386"/>
      <c r="T141" s="386"/>
      <c r="V141" s="386"/>
      <c r="W141" s="386"/>
      <c r="X141" s="386"/>
      <c r="Y141" s="386"/>
      <c r="Z141" s="603"/>
      <c r="AA141" s="386"/>
      <c r="AB141" s="386"/>
      <c r="AC141" s="386"/>
      <c r="AE141" s="386"/>
      <c r="AF141" s="386"/>
      <c r="AG141" s="386"/>
      <c r="AH141" s="386"/>
      <c r="AI141" s="386"/>
      <c r="AJ141" s="386"/>
      <c r="AK141" s="386"/>
      <c r="AL141" s="386"/>
      <c r="AN141" s="386"/>
      <c r="AO141" s="386"/>
      <c r="AP141" s="386"/>
      <c r="AQ141" s="386"/>
      <c r="AR141" s="386"/>
      <c r="AS141" s="386"/>
      <c r="AT141" s="386"/>
      <c r="AU141" s="386"/>
      <c r="AV141" s="386"/>
      <c r="AW141" s="386"/>
      <c r="AX141" s="386"/>
      <c r="AY141" s="386"/>
      <c r="AZ141" s="386"/>
      <c r="BA141" s="386"/>
      <c r="BB141" s="386"/>
      <c r="BD141" s="604"/>
      <c r="BE141" s="614"/>
      <c r="BF141" s="614"/>
      <c r="BG141" s="9"/>
      <c r="BH141" s="48"/>
      <c r="BI141" s="386"/>
      <c r="BJ141" s="386"/>
      <c r="BK141" s="386"/>
      <c r="BL141" s="386"/>
      <c r="BM141" s="386"/>
    </row>
    <row r="142" spans="8:65" x14ac:dyDescent="0.2">
      <c r="H142" s="610"/>
      <c r="I142" s="4"/>
      <c r="L142" s="4"/>
      <c r="M142" s="4"/>
      <c r="Q142" s="386"/>
      <c r="R142" s="386"/>
      <c r="S142" s="386"/>
      <c r="T142" s="386"/>
      <c r="V142" s="386"/>
      <c r="W142" s="386"/>
      <c r="X142" s="386"/>
      <c r="Y142" s="386"/>
      <c r="Z142" s="603"/>
      <c r="AA142" s="386"/>
      <c r="AB142" s="386"/>
      <c r="AC142" s="386"/>
      <c r="AE142" s="386"/>
      <c r="AF142" s="386"/>
      <c r="AG142" s="386"/>
      <c r="AH142" s="386"/>
      <c r="AI142" s="386"/>
      <c r="AJ142" s="386"/>
      <c r="AK142" s="386"/>
      <c r="AL142" s="386"/>
      <c r="AN142" s="386"/>
      <c r="AO142" s="386"/>
      <c r="AP142" s="386"/>
      <c r="AQ142" s="386"/>
      <c r="AR142" s="386"/>
      <c r="AS142" s="386"/>
      <c r="AT142" s="386"/>
      <c r="AU142" s="386"/>
      <c r="AV142" s="386"/>
      <c r="AW142" s="386"/>
      <c r="AX142" s="386"/>
      <c r="AY142" s="386"/>
      <c r="AZ142" s="386"/>
      <c r="BA142" s="386"/>
      <c r="BB142" s="386"/>
      <c r="BD142" s="604"/>
      <c r="BE142" s="614"/>
      <c r="BF142" s="614"/>
      <c r="BG142" s="9"/>
      <c r="BH142" s="48"/>
      <c r="BI142" s="386"/>
      <c r="BJ142" s="386"/>
      <c r="BK142" s="386"/>
      <c r="BL142" s="386"/>
      <c r="BM142" s="386"/>
    </row>
    <row r="143" spans="8:65" x14ac:dyDescent="0.2">
      <c r="H143" s="610"/>
      <c r="I143" s="4"/>
      <c r="L143" s="4"/>
      <c r="M143" s="4"/>
      <c r="Q143" s="386"/>
      <c r="R143" s="386"/>
      <c r="S143" s="386"/>
      <c r="T143" s="386"/>
      <c r="V143" s="386"/>
      <c r="W143" s="386"/>
      <c r="X143" s="386"/>
      <c r="Y143" s="386"/>
      <c r="Z143" s="603"/>
      <c r="AA143" s="386"/>
      <c r="AB143" s="386"/>
      <c r="AC143" s="386"/>
      <c r="AE143" s="386"/>
      <c r="AF143" s="386"/>
      <c r="AG143" s="386"/>
      <c r="AH143" s="386"/>
      <c r="AI143" s="386"/>
      <c r="AJ143" s="386"/>
      <c r="AK143" s="386"/>
      <c r="AL143" s="386"/>
      <c r="AN143" s="386"/>
      <c r="AO143" s="386"/>
      <c r="AP143" s="386"/>
      <c r="AQ143" s="386"/>
      <c r="AR143" s="386"/>
      <c r="AS143" s="386"/>
      <c r="AT143" s="386"/>
      <c r="AU143" s="386"/>
      <c r="AV143" s="386"/>
      <c r="AW143" s="386"/>
      <c r="AX143" s="386"/>
      <c r="AY143" s="386"/>
      <c r="AZ143" s="386"/>
      <c r="BA143" s="386"/>
      <c r="BB143" s="386"/>
      <c r="BD143" s="604"/>
      <c r="BE143" s="614"/>
      <c r="BF143" s="614"/>
      <c r="BG143" s="9"/>
      <c r="BH143" s="48"/>
      <c r="BI143" s="386"/>
      <c r="BJ143" s="386"/>
      <c r="BK143" s="386"/>
      <c r="BL143" s="386"/>
      <c r="BM143" s="386"/>
    </row>
    <row r="144" spans="8:65" x14ac:dyDescent="0.2">
      <c r="H144" s="610"/>
      <c r="I144" s="4"/>
      <c r="L144" s="4"/>
      <c r="M144" s="4"/>
      <c r="Q144" s="386"/>
      <c r="R144" s="386"/>
      <c r="S144" s="386"/>
      <c r="T144" s="386"/>
      <c r="V144" s="386"/>
      <c r="W144" s="386"/>
      <c r="X144" s="386"/>
      <c r="Y144" s="386"/>
      <c r="Z144" s="603"/>
      <c r="AA144" s="386"/>
      <c r="AB144" s="386"/>
      <c r="AC144" s="386"/>
      <c r="AE144" s="386"/>
      <c r="AF144" s="386"/>
      <c r="AG144" s="386"/>
      <c r="AH144" s="386"/>
      <c r="AI144" s="386"/>
      <c r="AJ144" s="386"/>
      <c r="AK144" s="386"/>
      <c r="AL144" s="386"/>
      <c r="AN144" s="386"/>
      <c r="AO144" s="386"/>
      <c r="AP144" s="386"/>
      <c r="AQ144" s="386"/>
      <c r="AR144" s="386"/>
      <c r="AS144" s="386"/>
      <c r="AT144" s="386"/>
      <c r="AU144" s="386"/>
      <c r="AV144" s="386"/>
      <c r="AW144" s="386"/>
      <c r="AX144" s="386"/>
      <c r="AY144" s="386"/>
      <c r="AZ144" s="386"/>
      <c r="BA144" s="386"/>
      <c r="BB144" s="386"/>
      <c r="BD144" s="604"/>
      <c r="BE144" s="614"/>
      <c r="BF144" s="614"/>
      <c r="BG144" s="9"/>
      <c r="BH144" s="48"/>
      <c r="BI144" s="386"/>
      <c r="BJ144" s="386"/>
      <c r="BK144" s="386"/>
      <c r="BL144" s="386"/>
      <c r="BM144" s="386"/>
    </row>
    <row r="145" spans="8:65" x14ac:dyDescent="0.2">
      <c r="H145" s="610"/>
      <c r="I145" s="4"/>
      <c r="L145" s="4"/>
      <c r="M145" s="4"/>
      <c r="Q145" s="386"/>
      <c r="R145" s="386"/>
      <c r="S145" s="386"/>
      <c r="T145" s="386"/>
      <c r="V145" s="386"/>
      <c r="W145" s="386"/>
      <c r="X145" s="386"/>
      <c r="Y145" s="386"/>
      <c r="Z145" s="603"/>
      <c r="AA145" s="386"/>
      <c r="AB145" s="386"/>
      <c r="AC145" s="386"/>
      <c r="AE145" s="386"/>
      <c r="AF145" s="386"/>
      <c r="AG145" s="386"/>
      <c r="AH145" s="386"/>
      <c r="AI145" s="386"/>
      <c r="AJ145" s="386"/>
      <c r="AK145" s="386"/>
      <c r="AL145" s="386"/>
      <c r="AN145" s="386"/>
      <c r="AO145" s="386"/>
      <c r="AP145" s="386"/>
      <c r="AQ145" s="386"/>
      <c r="AR145" s="386"/>
      <c r="AS145" s="386"/>
      <c r="AT145" s="386"/>
      <c r="AU145" s="386"/>
      <c r="AV145" s="386"/>
      <c r="AW145" s="386"/>
      <c r="AX145" s="386"/>
      <c r="AY145" s="386"/>
      <c r="AZ145" s="386"/>
      <c r="BA145" s="386"/>
      <c r="BB145" s="386"/>
      <c r="BD145" s="604"/>
      <c r="BE145" s="614"/>
      <c r="BF145" s="614"/>
      <c r="BG145" s="9"/>
      <c r="BH145" s="48"/>
      <c r="BI145" s="386"/>
      <c r="BJ145" s="386"/>
      <c r="BK145" s="386"/>
      <c r="BL145" s="386"/>
      <c r="BM145" s="386"/>
    </row>
    <row r="146" spans="8:65" x14ac:dyDescent="0.2">
      <c r="H146" s="610"/>
      <c r="I146" s="4"/>
      <c r="L146" s="4"/>
      <c r="M146" s="4"/>
      <c r="Q146" s="386"/>
      <c r="R146" s="386"/>
      <c r="S146" s="386"/>
      <c r="T146" s="386"/>
      <c r="V146" s="386"/>
      <c r="W146" s="386"/>
      <c r="X146" s="386"/>
      <c r="Y146" s="386"/>
      <c r="Z146" s="603"/>
      <c r="AA146" s="386"/>
      <c r="AB146" s="386"/>
      <c r="AC146" s="386"/>
      <c r="AE146" s="386"/>
      <c r="AF146" s="386"/>
      <c r="AG146" s="386"/>
      <c r="AH146" s="386"/>
      <c r="AI146" s="386"/>
      <c r="AJ146" s="386"/>
      <c r="AK146" s="386"/>
      <c r="AL146" s="386"/>
      <c r="AN146" s="386"/>
      <c r="AO146" s="386"/>
      <c r="AP146" s="386"/>
      <c r="AQ146" s="386"/>
      <c r="AR146" s="386"/>
      <c r="AS146" s="386"/>
      <c r="AT146" s="386"/>
      <c r="AU146" s="386"/>
      <c r="AV146" s="386"/>
      <c r="AW146" s="386"/>
      <c r="AX146" s="386"/>
      <c r="AY146" s="386"/>
      <c r="AZ146" s="386"/>
      <c r="BA146" s="386"/>
      <c r="BB146" s="386"/>
      <c r="BD146" s="604"/>
      <c r="BE146" s="614"/>
      <c r="BF146" s="614"/>
      <c r="BG146" s="9"/>
      <c r="BH146" s="48"/>
      <c r="BI146" s="386"/>
      <c r="BJ146" s="386"/>
      <c r="BK146" s="386"/>
      <c r="BL146" s="386"/>
      <c r="BM146" s="386"/>
    </row>
    <row r="147" spans="8:65" x14ac:dyDescent="0.2">
      <c r="H147" s="610"/>
      <c r="I147" s="4"/>
      <c r="L147" s="4"/>
      <c r="M147" s="4"/>
      <c r="Q147" s="386"/>
      <c r="R147" s="386"/>
      <c r="S147" s="386"/>
      <c r="T147" s="386"/>
      <c r="V147" s="386"/>
      <c r="W147" s="386"/>
      <c r="X147" s="386"/>
      <c r="Y147" s="386"/>
      <c r="Z147" s="603"/>
      <c r="AA147" s="386"/>
      <c r="AB147" s="386"/>
      <c r="AC147" s="386"/>
      <c r="AE147" s="386"/>
      <c r="AF147" s="386"/>
      <c r="AG147" s="386"/>
      <c r="AH147" s="386"/>
      <c r="AI147" s="386"/>
      <c r="AJ147" s="386"/>
      <c r="AK147" s="386"/>
      <c r="AL147" s="386"/>
      <c r="AN147" s="386"/>
      <c r="AO147" s="386"/>
      <c r="AP147" s="386"/>
      <c r="AQ147" s="386"/>
      <c r="AR147" s="386"/>
      <c r="AS147" s="386"/>
      <c r="AT147" s="386"/>
      <c r="AU147" s="386"/>
      <c r="AV147" s="386"/>
      <c r="AW147" s="386"/>
      <c r="AX147" s="386"/>
      <c r="AY147" s="386"/>
      <c r="AZ147" s="386"/>
      <c r="BA147" s="386"/>
      <c r="BB147" s="386"/>
      <c r="BD147" s="604"/>
      <c r="BE147" s="614"/>
      <c r="BF147" s="614"/>
      <c r="BG147" s="9"/>
      <c r="BH147" s="48"/>
      <c r="BI147" s="386"/>
      <c r="BJ147" s="386"/>
      <c r="BK147" s="386"/>
      <c r="BL147" s="386"/>
      <c r="BM147" s="386"/>
    </row>
    <row r="148" spans="8:65" x14ac:dyDescent="0.2">
      <c r="H148" s="610"/>
      <c r="I148" s="4"/>
      <c r="L148" s="4"/>
      <c r="M148" s="4"/>
      <c r="Q148" s="386"/>
      <c r="R148" s="386"/>
      <c r="S148" s="386"/>
      <c r="T148" s="386"/>
      <c r="V148" s="386"/>
      <c r="W148" s="386"/>
      <c r="X148" s="386"/>
      <c r="Y148" s="386"/>
      <c r="Z148" s="603"/>
      <c r="AA148" s="386"/>
      <c r="AB148" s="386"/>
      <c r="AC148" s="386"/>
      <c r="AE148" s="386"/>
      <c r="AF148" s="386"/>
      <c r="AG148" s="386"/>
      <c r="AH148" s="386"/>
      <c r="AI148" s="386"/>
      <c r="AJ148" s="386"/>
      <c r="AK148" s="386"/>
      <c r="AL148" s="386"/>
      <c r="AN148" s="386"/>
      <c r="AO148" s="386"/>
      <c r="AP148" s="386"/>
      <c r="AQ148" s="386"/>
      <c r="AR148" s="386"/>
      <c r="AS148" s="386"/>
      <c r="AT148" s="386"/>
      <c r="AU148" s="386"/>
      <c r="AV148" s="386"/>
      <c r="AW148" s="386"/>
      <c r="AX148" s="386"/>
      <c r="AY148" s="386"/>
      <c r="AZ148" s="386"/>
      <c r="BA148" s="386"/>
      <c r="BB148" s="386"/>
      <c r="BD148" s="604"/>
      <c r="BE148" s="614"/>
      <c r="BF148" s="614"/>
      <c r="BG148" s="9"/>
      <c r="BH148" s="48"/>
      <c r="BI148" s="386"/>
      <c r="BJ148" s="386"/>
      <c r="BK148" s="386"/>
      <c r="BL148" s="386"/>
      <c r="BM148" s="386"/>
    </row>
    <row r="149" spans="8:65" x14ac:dyDescent="0.2">
      <c r="H149" s="610"/>
      <c r="I149" s="4"/>
      <c r="L149" s="4"/>
      <c r="M149" s="4"/>
      <c r="Q149" s="386"/>
      <c r="R149" s="386"/>
      <c r="S149" s="386"/>
      <c r="T149" s="386"/>
      <c r="V149" s="386"/>
      <c r="W149" s="386"/>
      <c r="X149" s="386"/>
      <c r="Y149" s="386"/>
      <c r="Z149" s="603"/>
      <c r="AA149" s="386"/>
      <c r="AB149" s="386"/>
      <c r="AC149" s="386"/>
      <c r="AE149" s="386"/>
      <c r="AF149" s="386"/>
      <c r="AG149" s="386"/>
      <c r="AH149" s="386"/>
      <c r="AI149" s="386"/>
      <c r="AJ149" s="386"/>
      <c r="AK149" s="386"/>
      <c r="AL149" s="386"/>
      <c r="AN149" s="386"/>
      <c r="AO149" s="386"/>
      <c r="AP149" s="386"/>
      <c r="AQ149" s="386"/>
      <c r="AR149" s="386"/>
      <c r="AS149" s="386"/>
      <c r="AT149" s="386"/>
      <c r="AU149" s="386"/>
      <c r="AV149" s="386"/>
      <c r="AW149" s="386"/>
      <c r="AX149" s="386"/>
      <c r="AY149" s="386"/>
      <c r="AZ149" s="386"/>
      <c r="BA149" s="386"/>
      <c r="BB149" s="386"/>
      <c r="BD149" s="604"/>
      <c r="BE149" s="614"/>
      <c r="BF149" s="614"/>
      <c r="BG149" s="9"/>
      <c r="BH149" s="48"/>
      <c r="BI149" s="386"/>
      <c r="BJ149" s="386"/>
      <c r="BK149" s="386"/>
      <c r="BL149" s="386"/>
      <c r="BM149" s="386"/>
    </row>
    <row r="150" spans="8:65" x14ac:dyDescent="0.2">
      <c r="H150" s="610"/>
      <c r="I150" s="4"/>
      <c r="L150" s="4"/>
      <c r="M150" s="4"/>
      <c r="Q150" s="386"/>
      <c r="R150" s="386"/>
      <c r="S150" s="386"/>
      <c r="T150" s="386"/>
      <c r="V150" s="386"/>
      <c r="W150" s="386"/>
      <c r="X150" s="386"/>
      <c r="Y150" s="386"/>
      <c r="Z150" s="603"/>
      <c r="AA150" s="386"/>
      <c r="AB150" s="386"/>
      <c r="AC150" s="386"/>
      <c r="AE150" s="386"/>
      <c r="AF150" s="386"/>
      <c r="AG150" s="386"/>
      <c r="AH150" s="386"/>
      <c r="AI150" s="386"/>
      <c r="AJ150" s="386"/>
      <c r="AK150" s="386"/>
      <c r="AL150" s="386"/>
      <c r="AN150" s="386"/>
      <c r="AO150" s="386"/>
      <c r="AP150" s="386"/>
      <c r="AQ150" s="386"/>
      <c r="AR150" s="386"/>
      <c r="AS150" s="386"/>
      <c r="AT150" s="386"/>
      <c r="AU150" s="386"/>
      <c r="AV150" s="386"/>
      <c r="AW150" s="386"/>
      <c r="AX150" s="386"/>
      <c r="AY150" s="386"/>
      <c r="AZ150" s="386"/>
      <c r="BA150" s="386"/>
      <c r="BB150" s="386"/>
      <c r="BD150" s="604"/>
      <c r="BE150" s="614"/>
      <c r="BF150" s="614"/>
      <c r="BG150" s="9"/>
      <c r="BH150" s="48"/>
      <c r="BI150" s="386"/>
      <c r="BJ150" s="386"/>
      <c r="BK150" s="386"/>
      <c r="BL150" s="386"/>
      <c r="BM150" s="386"/>
    </row>
    <row r="151" spans="8:65" x14ac:dyDescent="0.2">
      <c r="H151" s="610"/>
      <c r="I151" s="4"/>
      <c r="L151" s="4"/>
      <c r="M151" s="4"/>
      <c r="Q151" s="386"/>
      <c r="R151" s="386"/>
      <c r="S151" s="386"/>
      <c r="T151" s="386"/>
      <c r="V151" s="386"/>
      <c r="W151" s="386"/>
      <c r="X151" s="386"/>
      <c r="Y151" s="386"/>
      <c r="Z151" s="603"/>
      <c r="AA151" s="386"/>
      <c r="AB151" s="386"/>
      <c r="AC151" s="386"/>
      <c r="AE151" s="386"/>
      <c r="AF151" s="386"/>
      <c r="AG151" s="386"/>
      <c r="AH151" s="386"/>
      <c r="AI151" s="386"/>
      <c r="AJ151" s="386"/>
      <c r="AK151" s="386"/>
      <c r="AL151" s="386"/>
      <c r="AN151" s="386"/>
      <c r="AO151" s="386"/>
      <c r="AP151" s="386"/>
      <c r="AQ151" s="386"/>
      <c r="AR151" s="386"/>
      <c r="AS151" s="386"/>
      <c r="AT151" s="386"/>
      <c r="AU151" s="386"/>
      <c r="AV151" s="386"/>
      <c r="AW151" s="386"/>
      <c r="AX151" s="386"/>
      <c r="AY151" s="386"/>
      <c r="AZ151" s="386"/>
      <c r="BA151" s="386"/>
      <c r="BB151" s="386"/>
      <c r="BD151" s="604"/>
      <c r="BE151" s="614"/>
      <c r="BF151" s="614"/>
      <c r="BG151" s="9"/>
      <c r="BH151" s="48"/>
      <c r="BI151" s="386"/>
      <c r="BJ151" s="386"/>
      <c r="BK151" s="386"/>
      <c r="BL151" s="386"/>
      <c r="BM151" s="386"/>
    </row>
    <row r="152" spans="8:65" x14ac:dyDescent="0.2">
      <c r="H152" s="610"/>
      <c r="I152" s="4"/>
      <c r="L152" s="4"/>
      <c r="M152" s="4"/>
      <c r="Q152" s="386"/>
      <c r="R152" s="386"/>
      <c r="S152" s="386"/>
      <c r="T152" s="386"/>
      <c r="V152" s="386"/>
      <c r="W152" s="386"/>
      <c r="X152" s="386"/>
      <c r="Y152" s="386"/>
      <c r="Z152" s="603"/>
      <c r="AA152" s="386"/>
      <c r="AB152" s="386"/>
      <c r="AC152" s="386"/>
      <c r="AE152" s="386"/>
      <c r="AF152" s="386"/>
      <c r="AG152" s="386"/>
      <c r="AH152" s="386"/>
      <c r="AI152" s="386"/>
      <c r="AJ152" s="386"/>
      <c r="AK152" s="386"/>
      <c r="AL152" s="386"/>
      <c r="AN152" s="386"/>
      <c r="AO152" s="386"/>
      <c r="AP152" s="386"/>
      <c r="AQ152" s="386"/>
      <c r="AR152" s="386"/>
      <c r="AS152" s="386"/>
      <c r="AT152" s="386"/>
      <c r="AU152" s="386"/>
      <c r="AV152" s="386"/>
      <c r="AW152" s="386"/>
      <c r="AX152" s="386"/>
      <c r="AY152" s="386"/>
      <c r="AZ152" s="386"/>
      <c r="BA152" s="386"/>
      <c r="BB152" s="386"/>
      <c r="BD152" s="604"/>
      <c r="BE152" s="614"/>
      <c r="BF152" s="614"/>
      <c r="BG152" s="9"/>
      <c r="BH152" s="48"/>
      <c r="BI152" s="386"/>
      <c r="BJ152" s="386"/>
      <c r="BK152" s="386"/>
      <c r="BL152" s="386"/>
      <c r="BM152" s="386"/>
    </row>
    <row r="153" spans="8:65" x14ac:dyDescent="0.2">
      <c r="H153" s="610"/>
      <c r="I153" s="4"/>
      <c r="L153" s="4"/>
      <c r="M153" s="4"/>
      <c r="Q153" s="386"/>
      <c r="R153" s="386"/>
      <c r="S153" s="386"/>
      <c r="T153" s="386"/>
      <c r="V153" s="386"/>
      <c r="W153" s="386"/>
      <c r="X153" s="386"/>
      <c r="Y153" s="386"/>
      <c r="Z153" s="603"/>
      <c r="AA153" s="386"/>
      <c r="AB153" s="386"/>
      <c r="AC153" s="386"/>
      <c r="AE153" s="386"/>
      <c r="AF153" s="386"/>
      <c r="AG153" s="386"/>
      <c r="AH153" s="386"/>
      <c r="AI153" s="386"/>
      <c r="AJ153" s="386"/>
      <c r="AK153" s="386"/>
      <c r="AL153" s="386"/>
      <c r="AN153" s="386"/>
      <c r="AO153" s="386"/>
      <c r="AP153" s="386"/>
      <c r="AQ153" s="386"/>
      <c r="AR153" s="386"/>
      <c r="AS153" s="386"/>
      <c r="AT153" s="386"/>
      <c r="AU153" s="386"/>
      <c r="AV153" s="386"/>
      <c r="AW153" s="386"/>
      <c r="AX153" s="386"/>
      <c r="AY153" s="386"/>
      <c r="AZ153" s="386"/>
      <c r="BA153" s="386"/>
      <c r="BB153" s="386"/>
      <c r="BD153" s="604"/>
      <c r="BE153" s="614"/>
      <c r="BF153" s="614"/>
      <c r="BG153" s="9"/>
      <c r="BH153" s="48"/>
      <c r="BI153" s="386"/>
      <c r="BJ153" s="386"/>
      <c r="BK153" s="386"/>
      <c r="BL153" s="386"/>
      <c r="BM153" s="386"/>
    </row>
    <row r="154" spans="8:65" x14ac:dyDescent="0.2">
      <c r="H154" s="610"/>
      <c r="I154" s="4"/>
      <c r="L154" s="4"/>
      <c r="M154" s="4"/>
      <c r="Q154" s="386"/>
      <c r="R154" s="386"/>
      <c r="S154" s="386"/>
      <c r="T154" s="386"/>
      <c r="V154" s="386"/>
      <c r="W154" s="386"/>
      <c r="X154" s="386"/>
      <c r="Y154" s="386"/>
      <c r="Z154" s="603"/>
      <c r="AA154" s="386"/>
      <c r="AB154" s="386"/>
      <c r="AC154" s="386"/>
      <c r="AE154" s="386"/>
      <c r="AF154" s="386"/>
      <c r="AG154" s="386"/>
      <c r="AH154" s="386"/>
      <c r="AI154" s="386"/>
      <c r="AJ154" s="386"/>
      <c r="AK154" s="386"/>
      <c r="AL154" s="386"/>
      <c r="AN154" s="386"/>
      <c r="AO154" s="386"/>
      <c r="AP154" s="386"/>
      <c r="AQ154" s="386"/>
      <c r="AR154" s="386"/>
      <c r="AS154" s="386"/>
      <c r="AT154" s="386"/>
      <c r="AU154" s="386"/>
      <c r="AV154" s="386"/>
      <c r="AW154" s="386"/>
      <c r="AX154" s="386"/>
      <c r="AY154" s="386"/>
      <c r="AZ154" s="386"/>
      <c r="BA154" s="386"/>
      <c r="BB154" s="386"/>
      <c r="BD154" s="604"/>
      <c r="BE154" s="614"/>
      <c r="BF154" s="614"/>
      <c r="BG154" s="9"/>
      <c r="BH154" s="48"/>
      <c r="BI154" s="386"/>
      <c r="BJ154" s="386"/>
      <c r="BK154" s="386"/>
      <c r="BL154" s="386"/>
      <c r="BM154" s="386"/>
    </row>
    <row r="155" spans="8:65" x14ac:dyDescent="0.2">
      <c r="H155" s="610"/>
      <c r="I155" s="4"/>
      <c r="L155" s="4"/>
      <c r="M155" s="4"/>
      <c r="Q155" s="386"/>
      <c r="R155" s="386"/>
      <c r="S155" s="386"/>
      <c r="T155" s="386"/>
      <c r="V155" s="386"/>
      <c r="W155" s="386"/>
      <c r="X155" s="386"/>
      <c r="Y155" s="386"/>
      <c r="Z155" s="603"/>
      <c r="AA155" s="386"/>
      <c r="AB155" s="386"/>
      <c r="AC155" s="386"/>
      <c r="AE155" s="386"/>
      <c r="AF155" s="386"/>
      <c r="AG155" s="386"/>
      <c r="AH155" s="386"/>
      <c r="AI155" s="386"/>
      <c r="AJ155" s="386"/>
      <c r="AK155" s="386"/>
      <c r="AL155" s="386"/>
      <c r="AN155" s="386"/>
      <c r="AO155" s="386"/>
      <c r="AP155" s="386"/>
      <c r="AQ155" s="386"/>
      <c r="AR155" s="386"/>
      <c r="AS155" s="386"/>
      <c r="AT155" s="386"/>
      <c r="AU155" s="386"/>
      <c r="AV155" s="386"/>
      <c r="AW155" s="386"/>
      <c r="AX155" s="386"/>
      <c r="AY155" s="386"/>
      <c r="AZ155" s="386"/>
      <c r="BA155" s="386"/>
      <c r="BB155" s="386"/>
      <c r="BD155" s="604"/>
      <c r="BE155" s="614"/>
      <c r="BF155" s="614"/>
      <c r="BG155" s="9"/>
      <c r="BH155" s="48"/>
      <c r="BI155" s="386"/>
      <c r="BJ155" s="386"/>
      <c r="BK155" s="386"/>
      <c r="BL155" s="386"/>
      <c r="BM155" s="386"/>
    </row>
    <row r="156" spans="8:65" x14ac:dyDescent="0.2">
      <c r="H156" s="610"/>
      <c r="I156" s="4"/>
      <c r="L156" s="4"/>
      <c r="M156" s="4"/>
      <c r="Q156" s="386"/>
      <c r="R156" s="386"/>
      <c r="S156" s="386"/>
      <c r="T156" s="386"/>
      <c r="V156" s="386"/>
      <c r="W156" s="386"/>
      <c r="X156" s="386"/>
      <c r="Y156" s="386"/>
      <c r="Z156" s="603"/>
      <c r="AA156" s="386"/>
      <c r="AB156" s="386"/>
      <c r="AC156" s="386"/>
      <c r="AE156" s="386"/>
      <c r="AF156" s="386"/>
      <c r="AG156" s="386"/>
      <c r="AH156" s="386"/>
      <c r="AI156" s="386"/>
      <c r="AJ156" s="386"/>
      <c r="AK156" s="386"/>
      <c r="AL156" s="386"/>
      <c r="AN156" s="386"/>
      <c r="AO156" s="386"/>
      <c r="AP156" s="386"/>
      <c r="AQ156" s="386"/>
      <c r="AR156" s="386"/>
      <c r="AS156" s="386"/>
      <c r="AT156" s="386"/>
      <c r="AU156" s="386"/>
      <c r="AV156" s="386"/>
      <c r="AW156" s="386"/>
      <c r="AX156" s="386"/>
      <c r="AY156" s="386"/>
      <c r="AZ156" s="386"/>
      <c r="BA156" s="386"/>
      <c r="BB156" s="386"/>
      <c r="BD156" s="604"/>
      <c r="BE156" s="614"/>
      <c r="BF156" s="614"/>
      <c r="BG156" s="9"/>
      <c r="BH156" s="48"/>
      <c r="BI156" s="386"/>
      <c r="BJ156" s="386"/>
      <c r="BK156" s="386"/>
      <c r="BL156" s="386"/>
      <c r="BM156" s="386"/>
    </row>
    <row r="157" spans="8:65" x14ac:dyDescent="0.2">
      <c r="H157" s="610"/>
      <c r="I157" s="4"/>
      <c r="L157" s="4"/>
      <c r="M157" s="4"/>
      <c r="Q157" s="386"/>
      <c r="R157" s="386"/>
      <c r="S157" s="386"/>
      <c r="T157" s="386"/>
      <c r="V157" s="386"/>
      <c r="W157" s="386"/>
      <c r="X157" s="386"/>
      <c r="Y157" s="386"/>
      <c r="Z157" s="603"/>
      <c r="AA157" s="386"/>
      <c r="AB157" s="386"/>
      <c r="AC157" s="386"/>
      <c r="AE157" s="386"/>
      <c r="AF157" s="386"/>
      <c r="AG157" s="386"/>
      <c r="AH157" s="386"/>
      <c r="AI157" s="386"/>
      <c r="AJ157" s="386"/>
      <c r="AK157" s="386"/>
      <c r="AL157" s="386"/>
      <c r="AN157" s="386"/>
      <c r="AO157" s="386"/>
      <c r="AP157" s="386"/>
      <c r="AQ157" s="386"/>
      <c r="AR157" s="386"/>
      <c r="AS157" s="386"/>
      <c r="AT157" s="386"/>
      <c r="AU157" s="386"/>
      <c r="AV157" s="386"/>
      <c r="AW157" s="386"/>
      <c r="AX157" s="386"/>
      <c r="AY157" s="386"/>
      <c r="AZ157" s="386"/>
      <c r="BA157" s="386"/>
      <c r="BB157" s="386"/>
      <c r="BD157" s="604"/>
      <c r="BE157" s="614"/>
      <c r="BF157" s="614"/>
      <c r="BG157" s="9"/>
      <c r="BH157" s="48"/>
      <c r="BI157" s="386"/>
      <c r="BJ157" s="386"/>
      <c r="BK157" s="386"/>
      <c r="BL157" s="386"/>
      <c r="BM157" s="386"/>
    </row>
    <row r="158" spans="8:65" x14ac:dyDescent="0.2">
      <c r="H158" s="610"/>
      <c r="I158" s="4"/>
      <c r="L158" s="4"/>
      <c r="M158" s="4"/>
      <c r="Q158" s="386"/>
      <c r="R158" s="386"/>
      <c r="S158" s="386"/>
      <c r="T158" s="386"/>
      <c r="V158" s="386"/>
      <c r="W158" s="386"/>
      <c r="X158" s="386"/>
      <c r="Y158" s="386"/>
      <c r="Z158" s="603"/>
      <c r="AA158" s="386"/>
      <c r="AB158" s="386"/>
      <c r="AC158" s="386"/>
      <c r="AE158" s="386"/>
      <c r="AF158" s="386"/>
      <c r="AG158" s="386"/>
      <c r="AH158" s="386"/>
      <c r="AI158" s="386"/>
      <c r="AJ158" s="386"/>
      <c r="AK158" s="386"/>
      <c r="AL158" s="386"/>
      <c r="AN158" s="386"/>
      <c r="AO158" s="386"/>
      <c r="AP158" s="386"/>
      <c r="AQ158" s="386"/>
      <c r="AR158" s="386"/>
      <c r="AS158" s="386"/>
      <c r="AT158" s="386"/>
      <c r="AU158" s="386"/>
      <c r="AV158" s="386"/>
      <c r="AW158" s="386"/>
      <c r="AX158" s="386"/>
      <c r="AY158" s="386"/>
      <c r="AZ158" s="386"/>
      <c r="BA158" s="386"/>
      <c r="BB158" s="386"/>
      <c r="BD158" s="604"/>
      <c r="BE158" s="614"/>
      <c r="BF158" s="614"/>
      <c r="BG158" s="9"/>
      <c r="BH158" s="48"/>
      <c r="BI158" s="386"/>
      <c r="BJ158" s="386"/>
      <c r="BK158" s="386"/>
      <c r="BL158" s="386"/>
      <c r="BM158" s="386"/>
    </row>
    <row r="159" spans="8:65" x14ac:dyDescent="0.2">
      <c r="H159" s="610"/>
      <c r="I159" s="4"/>
      <c r="L159" s="4"/>
      <c r="M159" s="4"/>
      <c r="Q159" s="386"/>
      <c r="R159" s="386"/>
      <c r="S159" s="386"/>
      <c r="T159" s="386"/>
      <c r="V159" s="386"/>
      <c r="W159" s="386"/>
      <c r="X159" s="386"/>
      <c r="Y159" s="386"/>
      <c r="Z159" s="603"/>
      <c r="AA159" s="386"/>
      <c r="AB159" s="386"/>
      <c r="AC159" s="386"/>
      <c r="AE159" s="386"/>
      <c r="AF159" s="386"/>
      <c r="AG159" s="386"/>
      <c r="AH159" s="386"/>
      <c r="AI159" s="386"/>
      <c r="AJ159" s="386"/>
      <c r="AK159" s="386"/>
      <c r="AL159" s="386"/>
      <c r="AN159" s="386"/>
      <c r="AO159" s="386"/>
      <c r="AP159" s="386"/>
      <c r="AQ159" s="386"/>
      <c r="AR159" s="386"/>
      <c r="AS159" s="386"/>
      <c r="AT159" s="386"/>
      <c r="AU159" s="386"/>
      <c r="AV159" s="386"/>
      <c r="AW159" s="386"/>
      <c r="AX159" s="386"/>
      <c r="AY159" s="386"/>
      <c r="AZ159" s="386"/>
      <c r="BA159" s="386"/>
      <c r="BB159" s="386"/>
      <c r="BD159" s="604"/>
      <c r="BE159" s="614"/>
      <c r="BF159" s="614"/>
      <c r="BG159" s="9"/>
      <c r="BH159" s="48"/>
      <c r="BI159" s="386"/>
      <c r="BJ159" s="386"/>
      <c r="BK159" s="386"/>
      <c r="BL159" s="386"/>
      <c r="BM159" s="386"/>
    </row>
    <row r="160" spans="8:65" x14ac:dyDescent="0.2">
      <c r="H160" s="610"/>
      <c r="I160" s="4"/>
      <c r="L160" s="4"/>
      <c r="M160" s="4"/>
      <c r="Q160" s="386"/>
      <c r="R160" s="386"/>
      <c r="S160" s="386"/>
      <c r="T160" s="386"/>
      <c r="V160" s="386"/>
      <c r="W160" s="386"/>
      <c r="X160" s="386"/>
      <c r="Y160" s="386"/>
      <c r="Z160" s="603"/>
      <c r="AA160" s="386"/>
      <c r="AB160" s="386"/>
      <c r="AC160" s="386"/>
      <c r="AE160" s="386"/>
      <c r="AF160" s="386"/>
      <c r="AG160" s="386"/>
      <c r="AH160" s="386"/>
      <c r="AI160" s="386"/>
      <c r="AJ160" s="386"/>
      <c r="AK160" s="386"/>
      <c r="AL160" s="386"/>
      <c r="AN160" s="386"/>
      <c r="AO160" s="386"/>
      <c r="AP160" s="386"/>
      <c r="AQ160" s="386"/>
      <c r="AR160" s="386"/>
      <c r="AS160" s="386"/>
      <c r="AT160" s="386"/>
      <c r="AU160" s="386"/>
      <c r="AV160" s="386"/>
      <c r="AW160" s="386"/>
      <c r="AX160" s="386"/>
      <c r="AY160" s="386"/>
      <c r="AZ160" s="386"/>
      <c r="BA160" s="386"/>
      <c r="BB160" s="386"/>
      <c r="BD160" s="604"/>
      <c r="BE160" s="614"/>
      <c r="BF160" s="614"/>
      <c r="BG160" s="9"/>
      <c r="BH160" s="48"/>
      <c r="BI160" s="386"/>
      <c r="BJ160" s="386"/>
      <c r="BK160" s="386"/>
      <c r="BL160" s="386"/>
      <c r="BM160" s="386"/>
    </row>
    <row r="161" spans="8:65" x14ac:dyDescent="0.2">
      <c r="H161" s="610"/>
      <c r="I161" s="4"/>
      <c r="L161" s="4"/>
      <c r="M161" s="4"/>
      <c r="Q161" s="386"/>
      <c r="R161" s="386"/>
      <c r="S161" s="386"/>
      <c r="T161" s="386"/>
      <c r="V161" s="386"/>
      <c r="W161" s="386"/>
      <c r="X161" s="386"/>
      <c r="Y161" s="386"/>
      <c r="Z161" s="603"/>
      <c r="AA161" s="386"/>
      <c r="AB161" s="386"/>
      <c r="AC161" s="386"/>
      <c r="AE161" s="386"/>
      <c r="AF161" s="386"/>
      <c r="AG161" s="386"/>
      <c r="AH161" s="386"/>
      <c r="AI161" s="386"/>
      <c r="AJ161" s="386"/>
      <c r="AK161" s="386"/>
      <c r="AL161" s="386"/>
      <c r="AN161" s="386"/>
      <c r="AO161" s="386"/>
      <c r="AP161" s="386"/>
      <c r="AQ161" s="386"/>
      <c r="AR161" s="386"/>
      <c r="AS161" s="386"/>
      <c r="AT161" s="386"/>
      <c r="AU161" s="386"/>
      <c r="AV161" s="386"/>
      <c r="AW161" s="386"/>
      <c r="AX161" s="386"/>
      <c r="AY161" s="386"/>
      <c r="AZ161" s="386"/>
      <c r="BA161" s="386"/>
      <c r="BB161" s="386"/>
      <c r="BD161" s="604"/>
      <c r="BE161" s="614"/>
      <c r="BF161" s="614"/>
      <c r="BG161" s="9"/>
      <c r="BH161" s="48"/>
      <c r="BI161" s="386"/>
      <c r="BJ161" s="386"/>
      <c r="BK161" s="386"/>
      <c r="BL161" s="386"/>
      <c r="BM161" s="386"/>
    </row>
    <row r="162" spans="8:65" x14ac:dyDescent="0.2">
      <c r="H162" s="610"/>
      <c r="I162" s="4"/>
      <c r="L162" s="4"/>
      <c r="M162" s="4"/>
      <c r="Q162" s="386"/>
      <c r="R162" s="386"/>
      <c r="S162" s="386"/>
      <c r="T162" s="386"/>
      <c r="V162" s="386"/>
      <c r="W162" s="386"/>
      <c r="X162" s="386"/>
      <c r="Y162" s="386"/>
      <c r="Z162" s="603"/>
      <c r="AA162" s="386"/>
      <c r="AB162" s="386"/>
      <c r="AC162" s="386"/>
      <c r="AE162" s="386"/>
      <c r="AF162" s="386"/>
      <c r="AG162" s="386"/>
      <c r="AH162" s="386"/>
      <c r="AI162" s="386"/>
      <c r="AJ162" s="386"/>
      <c r="AK162" s="386"/>
      <c r="AL162" s="386"/>
      <c r="AN162" s="386"/>
      <c r="AO162" s="386"/>
      <c r="AP162" s="386"/>
      <c r="AQ162" s="386"/>
      <c r="AR162" s="386"/>
      <c r="AS162" s="386"/>
      <c r="AT162" s="386"/>
      <c r="AU162" s="386"/>
      <c r="AV162" s="386"/>
      <c r="AW162" s="386"/>
      <c r="AX162" s="386"/>
      <c r="AY162" s="386"/>
      <c r="AZ162" s="386"/>
      <c r="BA162" s="386"/>
      <c r="BB162" s="386"/>
      <c r="BD162" s="604"/>
      <c r="BE162" s="614"/>
      <c r="BF162" s="614"/>
      <c r="BG162" s="9"/>
      <c r="BH162" s="48"/>
      <c r="BI162" s="386"/>
      <c r="BJ162" s="386"/>
      <c r="BK162" s="386"/>
      <c r="BL162" s="386"/>
      <c r="BM162" s="386"/>
    </row>
    <row r="163" spans="8:65" x14ac:dyDescent="0.2">
      <c r="H163" s="610"/>
      <c r="I163" s="4"/>
      <c r="L163" s="4"/>
      <c r="M163" s="4"/>
      <c r="Q163" s="386"/>
      <c r="R163" s="386"/>
      <c r="S163" s="386"/>
      <c r="T163" s="386"/>
      <c r="V163" s="386"/>
      <c r="W163" s="386"/>
      <c r="X163" s="386"/>
      <c r="Y163" s="386"/>
      <c r="Z163" s="603"/>
      <c r="AA163" s="386"/>
      <c r="AB163" s="386"/>
      <c r="AC163" s="386"/>
      <c r="AE163" s="386"/>
      <c r="AF163" s="386"/>
      <c r="AG163" s="386"/>
      <c r="AH163" s="386"/>
      <c r="AI163" s="386"/>
      <c r="AJ163" s="386"/>
      <c r="AK163" s="386"/>
      <c r="AL163" s="386"/>
      <c r="AN163" s="386"/>
      <c r="AO163" s="386"/>
      <c r="AP163" s="386"/>
      <c r="AQ163" s="386"/>
      <c r="AR163" s="386"/>
      <c r="AS163" s="386"/>
      <c r="AT163" s="386"/>
      <c r="AU163" s="386"/>
      <c r="AV163" s="386"/>
      <c r="AW163" s="386"/>
      <c r="AX163" s="386"/>
      <c r="AY163" s="386"/>
      <c r="AZ163" s="386"/>
      <c r="BA163" s="386"/>
      <c r="BB163" s="386"/>
      <c r="BD163" s="604"/>
      <c r="BE163" s="614"/>
      <c r="BF163" s="614"/>
      <c r="BG163" s="9"/>
      <c r="BH163" s="48"/>
      <c r="BI163" s="386"/>
      <c r="BJ163" s="386"/>
      <c r="BK163" s="386"/>
      <c r="BL163" s="386"/>
      <c r="BM163" s="386"/>
    </row>
    <row r="164" spans="8:65" x14ac:dyDescent="0.2">
      <c r="H164" s="610"/>
      <c r="I164" s="4"/>
      <c r="L164" s="4"/>
      <c r="M164" s="4"/>
      <c r="Q164" s="386"/>
      <c r="R164" s="386"/>
      <c r="S164" s="386"/>
      <c r="T164" s="386"/>
      <c r="V164" s="386"/>
      <c r="W164" s="386"/>
      <c r="X164" s="386"/>
      <c r="Y164" s="386"/>
      <c r="Z164" s="603"/>
      <c r="AA164" s="386"/>
      <c r="AB164" s="386"/>
      <c r="AC164" s="386"/>
      <c r="AE164" s="386"/>
      <c r="AF164" s="386"/>
      <c r="AG164" s="386"/>
      <c r="AH164" s="386"/>
      <c r="AI164" s="386"/>
      <c r="AJ164" s="386"/>
      <c r="AK164" s="386"/>
      <c r="AL164" s="386"/>
      <c r="AN164" s="386"/>
      <c r="AO164" s="386"/>
      <c r="AP164" s="386"/>
      <c r="AQ164" s="386"/>
      <c r="AR164" s="386"/>
      <c r="AS164" s="386"/>
      <c r="AT164" s="386"/>
      <c r="AU164" s="386"/>
      <c r="AV164" s="386"/>
      <c r="AW164" s="386"/>
      <c r="AX164" s="386"/>
      <c r="AY164" s="386"/>
      <c r="AZ164" s="386"/>
      <c r="BA164" s="386"/>
      <c r="BB164" s="386"/>
      <c r="BD164" s="604"/>
      <c r="BE164" s="614"/>
      <c r="BF164" s="614"/>
      <c r="BG164" s="9"/>
      <c r="BH164" s="48"/>
      <c r="BI164" s="386"/>
      <c r="BJ164" s="386"/>
      <c r="BK164" s="386"/>
      <c r="BL164" s="386"/>
      <c r="BM164" s="386"/>
    </row>
    <row r="165" spans="8:65" x14ac:dyDescent="0.2">
      <c r="H165" s="610"/>
      <c r="I165" s="4"/>
      <c r="L165" s="4"/>
      <c r="M165" s="4"/>
      <c r="Q165" s="386"/>
      <c r="R165" s="386"/>
      <c r="S165" s="386"/>
      <c r="T165" s="386"/>
      <c r="V165" s="386"/>
      <c r="W165" s="386"/>
      <c r="X165" s="386"/>
      <c r="Y165" s="386"/>
      <c r="Z165" s="603"/>
      <c r="AA165" s="386"/>
      <c r="AB165" s="386"/>
      <c r="AC165" s="386"/>
      <c r="AE165" s="386"/>
      <c r="AF165" s="386"/>
      <c r="AG165" s="386"/>
      <c r="AH165" s="386"/>
      <c r="AI165" s="386"/>
      <c r="AJ165" s="386"/>
      <c r="AK165" s="386"/>
      <c r="AL165" s="386"/>
      <c r="AN165" s="386"/>
      <c r="AO165" s="386"/>
      <c r="AP165" s="386"/>
      <c r="AQ165" s="386"/>
      <c r="AR165" s="386"/>
      <c r="AS165" s="386"/>
      <c r="AT165" s="386"/>
      <c r="AU165" s="386"/>
      <c r="AV165" s="386"/>
      <c r="AW165" s="386"/>
      <c r="AX165" s="386"/>
      <c r="AY165" s="386"/>
      <c r="AZ165" s="386"/>
      <c r="BA165" s="386"/>
      <c r="BB165" s="386"/>
      <c r="BD165" s="604"/>
      <c r="BE165" s="614"/>
      <c r="BF165" s="614"/>
      <c r="BG165" s="9"/>
      <c r="BH165" s="48"/>
      <c r="BI165" s="386"/>
      <c r="BJ165" s="386"/>
      <c r="BK165" s="386"/>
      <c r="BL165" s="386"/>
      <c r="BM165" s="386"/>
    </row>
    <row r="166" spans="8:65" x14ac:dyDescent="0.2">
      <c r="H166" s="610"/>
      <c r="I166" s="4"/>
      <c r="L166" s="4"/>
      <c r="M166" s="4"/>
      <c r="Q166" s="386"/>
      <c r="R166" s="386"/>
      <c r="S166" s="386"/>
      <c r="T166" s="386"/>
      <c r="V166" s="386"/>
      <c r="W166" s="386"/>
      <c r="X166" s="386"/>
      <c r="Y166" s="386"/>
      <c r="Z166" s="603"/>
      <c r="AA166" s="386"/>
      <c r="AB166" s="386"/>
      <c r="AC166" s="386"/>
      <c r="AE166" s="386"/>
      <c r="AF166" s="386"/>
      <c r="AG166" s="386"/>
      <c r="AH166" s="386"/>
      <c r="AI166" s="386"/>
      <c r="AJ166" s="386"/>
      <c r="AK166" s="386"/>
      <c r="AL166" s="386"/>
      <c r="AN166" s="386"/>
      <c r="AO166" s="386"/>
      <c r="AP166" s="386"/>
      <c r="AQ166" s="386"/>
      <c r="AR166" s="386"/>
      <c r="AS166" s="386"/>
      <c r="AT166" s="386"/>
      <c r="AU166" s="386"/>
      <c r="AV166" s="386"/>
      <c r="AW166" s="386"/>
      <c r="AX166" s="386"/>
      <c r="AY166" s="386"/>
      <c r="AZ166" s="386"/>
      <c r="BA166" s="386"/>
      <c r="BB166" s="386"/>
      <c r="BD166" s="604"/>
      <c r="BE166" s="614"/>
      <c r="BF166" s="614"/>
      <c r="BG166" s="9"/>
      <c r="BH166" s="48"/>
      <c r="BI166" s="386"/>
      <c r="BJ166" s="386"/>
      <c r="BK166" s="386"/>
      <c r="BL166" s="386"/>
      <c r="BM166" s="386"/>
    </row>
    <row r="167" spans="8:65" x14ac:dyDescent="0.2">
      <c r="H167" s="610"/>
      <c r="I167" s="4"/>
      <c r="L167" s="4"/>
      <c r="M167" s="4"/>
      <c r="Q167" s="386"/>
      <c r="R167" s="386"/>
      <c r="S167" s="386"/>
      <c r="T167" s="386"/>
      <c r="V167" s="386"/>
      <c r="W167" s="386"/>
      <c r="X167" s="386"/>
      <c r="Y167" s="386"/>
      <c r="Z167" s="603"/>
      <c r="AA167" s="386"/>
      <c r="AB167" s="386"/>
      <c r="AC167" s="386"/>
      <c r="AE167" s="386"/>
      <c r="AF167" s="386"/>
      <c r="AG167" s="386"/>
      <c r="AH167" s="386"/>
      <c r="AI167" s="386"/>
      <c r="AJ167" s="386"/>
      <c r="AK167" s="386"/>
      <c r="AL167" s="386"/>
      <c r="AN167" s="386"/>
      <c r="AO167" s="386"/>
      <c r="AP167" s="386"/>
      <c r="AQ167" s="386"/>
      <c r="AR167" s="386"/>
      <c r="AS167" s="386"/>
      <c r="AT167" s="386"/>
      <c r="AU167" s="386"/>
      <c r="AV167" s="386"/>
      <c r="AW167" s="386"/>
      <c r="AX167" s="386"/>
      <c r="AY167" s="386"/>
      <c r="AZ167" s="386"/>
      <c r="BA167" s="386"/>
      <c r="BB167" s="386"/>
      <c r="BD167" s="604"/>
      <c r="BE167" s="614"/>
      <c r="BF167" s="614"/>
      <c r="BG167" s="9"/>
      <c r="BH167" s="48"/>
      <c r="BI167" s="386"/>
      <c r="BJ167" s="386"/>
      <c r="BK167" s="386"/>
      <c r="BL167" s="386"/>
      <c r="BM167" s="386"/>
    </row>
    <row r="168" spans="8:65" x14ac:dyDescent="0.2">
      <c r="H168" s="610"/>
      <c r="I168" s="4"/>
      <c r="L168" s="4"/>
      <c r="M168" s="4"/>
      <c r="Q168" s="386"/>
      <c r="R168" s="386"/>
      <c r="S168" s="386"/>
      <c r="T168" s="386"/>
      <c r="V168" s="386"/>
      <c r="W168" s="386"/>
      <c r="X168" s="386"/>
      <c r="Y168" s="386"/>
      <c r="Z168" s="603"/>
      <c r="AA168" s="386"/>
      <c r="AB168" s="386"/>
      <c r="AC168" s="386"/>
      <c r="AE168" s="386"/>
      <c r="AF168" s="386"/>
      <c r="AG168" s="386"/>
      <c r="AH168" s="386"/>
      <c r="AI168" s="386"/>
      <c r="AJ168" s="386"/>
      <c r="AK168" s="386"/>
      <c r="AL168" s="386"/>
      <c r="AN168" s="386"/>
      <c r="AO168" s="386"/>
      <c r="AP168" s="386"/>
      <c r="AQ168" s="386"/>
      <c r="AR168" s="386"/>
      <c r="AS168" s="386"/>
      <c r="AT168" s="386"/>
      <c r="AU168" s="386"/>
      <c r="AV168" s="386"/>
      <c r="AW168" s="386"/>
      <c r="AX168" s="386"/>
      <c r="AY168" s="386"/>
      <c r="AZ168" s="386"/>
      <c r="BA168" s="386"/>
      <c r="BB168" s="386"/>
      <c r="BD168" s="604"/>
      <c r="BE168" s="614"/>
      <c r="BF168" s="614"/>
      <c r="BG168" s="9"/>
      <c r="BH168" s="48"/>
      <c r="BI168" s="386"/>
      <c r="BJ168" s="386"/>
      <c r="BK168" s="386"/>
      <c r="BL168" s="386"/>
      <c r="BM168" s="386"/>
    </row>
    <row r="169" spans="8:65" x14ac:dyDescent="0.2">
      <c r="H169" s="610"/>
      <c r="I169" s="4"/>
      <c r="L169" s="4"/>
      <c r="M169" s="4"/>
      <c r="Q169" s="386"/>
      <c r="R169" s="386"/>
      <c r="S169" s="386"/>
      <c r="T169" s="386"/>
      <c r="V169" s="386"/>
      <c r="W169" s="386"/>
      <c r="X169" s="386"/>
      <c r="Y169" s="386"/>
      <c r="Z169" s="603"/>
      <c r="AA169" s="386"/>
      <c r="AB169" s="386"/>
      <c r="AC169" s="386"/>
      <c r="AE169" s="386"/>
      <c r="AF169" s="386"/>
      <c r="AG169" s="386"/>
      <c r="AH169" s="386"/>
      <c r="AI169" s="386"/>
      <c r="AJ169" s="386"/>
      <c r="AK169" s="386"/>
      <c r="AL169" s="386"/>
      <c r="AN169" s="386"/>
      <c r="AO169" s="386"/>
      <c r="AP169" s="386"/>
      <c r="AQ169" s="386"/>
      <c r="AR169" s="386"/>
      <c r="AS169" s="386"/>
      <c r="AT169" s="386"/>
      <c r="AU169" s="386"/>
      <c r="AV169" s="386"/>
      <c r="AW169" s="386"/>
      <c r="AX169" s="386"/>
      <c r="AY169" s="386"/>
      <c r="AZ169" s="386"/>
      <c r="BA169" s="386"/>
      <c r="BB169" s="386"/>
      <c r="BD169" s="604"/>
      <c r="BE169" s="614"/>
      <c r="BF169" s="614"/>
      <c r="BG169" s="9"/>
      <c r="BH169" s="48"/>
      <c r="BI169" s="386"/>
      <c r="BJ169" s="386"/>
      <c r="BK169" s="386"/>
      <c r="BL169" s="386"/>
      <c r="BM169" s="386"/>
    </row>
    <row r="170" spans="8:65" x14ac:dyDescent="0.2">
      <c r="H170" s="610"/>
      <c r="I170" s="4"/>
      <c r="L170" s="4"/>
      <c r="M170" s="4"/>
      <c r="Q170" s="386"/>
      <c r="R170" s="386"/>
      <c r="S170" s="386"/>
      <c r="T170" s="386"/>
      <c r="V170" s="386"/>
      <c r="W170" s="386"/>
      <c r="X170" s="386"/>
      <c r="Y170" s="386"/>
      <c r="Z170" s="603"/>
      <c r="AA170" s="386"/>
      <c r="AB170" s="386"/>
      <c r="AC170" s="386"/>
      <c r="AE170" s="386"/>
      <c r="AF170" s="386"/>
      <c r="AG170" s="386"/>
      <c r="AH170" s="386"/>
      <c r="AI170" s="386"/>
      <c r="AJ170" s="386"/>
      <c r="AK170" s="386"/>
      <c r="AL170" s="386"/>
      <c r="AN170" s="386"/>
      <c r="AO170" s="386"/>
      <c r="AP170" s="386"/>
      <c r="AQ170" s="386"/>
      <c r="AR170" s="386"/>
      <c r="AS170" s="386"/>
      <c r="AT170" s="386"/>
      <c r="AU170" s="386"/>
      <c r="AV170" s="386"/>
      <c r="AW170" s="386"/>
      <c r="AX170" s="386"/>
      <c r="AY170" s="386"/>
      <c r="AZ170" s="386"/>
      <c r="BA170" s="386"/>
      <c r="BB170" s="386"/>
      <c r="BD170" s="604"/>
      <c r="BE170" s="614"/>
      <c r="BF170" s="614"/>
      <c r="BG170" s="9"/>
      <c r="BH170" s="48"/>
      <c r="BI170" s="386"/>
      <c r="BJ170" s="386"/>
      <c r="BK170" s="386"/>
      <c r="BL170" s="386"/>
      <c r="BM170" s="386"/>
    </row>
    <row r="171" spans="8:65" x14ac:dyDescent="0.2">
      <c r="H171" s="610"/>
      <c r="I171" s="4"/>
      <c r="L171" s="4"/>
      <c r="M171" s="4"/>
      <c r="Q171" s="386"/>
      <c r="R171" s="386"/>
      <c r="S171" s="386"/>
      <c r="T171" s="386"/>
      <c r="V171" s="386"/>
      <c r="W171" s="386"/>
      <c r="X171" s="386"/>
      <c r="Y171" s="386"/>
      <c r="Z171" s="603"/>
      <c r="AA171" s="386"/>
      <c r="AB171" s="386"/>
      <c r="AC171" s="386"/>
      <c r="AE171" s="386"/>
      <c r="AF171" s="386"/>
      <c r="AG171" s="386"/>
      <c r="AH171" s="386"/>
      <c r="AI171" s="386"/>
      <c r="AJ171" s="386"/>
      <c r="AK171" s="386"/>
      <c r="AL171" s="386"/>
      <c r="AN171" s="386"/>
      <c r="AO171" s="386"/>
      <c r="AP171" s="386"/>
      <c r="AQ171" s="386"/>
      <c r="AR171" s="386"/>
      <c r="AS171" s="386"/>
      <c r="AT171" s="386"/>
      <c r="AU171" s="386"/>
      <c r="AV171" s="386"/>
      <c r="AW171" s="386"/>
      <c r="AX171" s="386"/>
      <c r="AY171" s="386"/>
      <c r="AZ171" s="386"/>
      <c r="BA171" s="386"/>
      <c r="BB171" s="386"/>
      <c r="BD171" s="604"/>
      <c r="BE171" s="614"/>
      <c r="BF171" s="614"/>
      <c r="BG171" s="9"/>
      <c r="BH171" s="48"/>
      <c r="BI171" s="386"/>
      <c r="BJ171" s="386"/>
      <c r="BK171" s="386"/>
      <c r="BL171" s="386"/>
      <c r="BM171" s="386"/>
    </row>
    <row r="172" spans="8:65" x14ac:dyDescent="0.2">
      <c r="H172" s="610"/>
      <c r="I172" s="4"/>
      <c r="L172" s="4"/>
      <c r="M172" s="4"/>
      <c r="Q172" s="386"/>
      <c r="R172" s="386"/>
      <c r="S172" s="386"/>
      <c r="T172" s="386"/>
      <c r="V172" s="386"/>
      <c r="W172" s="386"/>
      <c r="X172" s="386"/>
      <c r="Y172" s="386"/>
      <c r="Z172" s="603"/>
      <c r="AA172" s="386"/>
      <c r="AB172" s="386"/>
      <c r="AC172" s="386"/>
      <c r="AE172" s="386"/>
      <c r="AF172" s="386"/>
      <c r="AG172" s="386"/>
      <c r="AH172" s="386"/>
      <c r="AI172" s="386"/>
      <c r="AJ172" s="386"/>
      <c r="AK172" s="386"/>
      <c r="AL172" s="386"/>
      <c r="AN172" s="386"/>
      <c r="AO172" s="386"/>
      <c r="AP172" s="386"/>
      <c r="AQ172" s="386"/>
      <c r="AR172" s="386"/>
      <c r="AS172" s="386"/>
      <c r="AT172" s="386"/>
      <c r="AU172" s="386"/>
      <c r="AV172" s="386"/>
      <c r="AW172" s="386"/>
      <c r="AX172" s="386"/>
      <c r="AY172" s="386"/>
      <c r="AZ172" s="386"/>
      <c r="BA172" s="386"/>
      <c r="BB172" s="386"/>
      <c r="BD172" s="604"/>
      <c r="BE172" s="614"/>
      <c r="BF172" s="614"/>
      <c r="BG172" s="9"/>
      <c r="BH172" s="48"/>
      <c r="BI172" s="386"/>
      <c r="BJ172" s="386"/>
      <c r="BK172" s="386"/>
      <c r="BL172" s="386"/>
      <c r="BM172" s="386"/>
    </row>
    <row r="173" spans="8:65" x14ac:dyDescent="0.2">
      <c r="H173" s="610"/>
      <c r="I173" s="4"/>
      <c r="L173" s="4"/>
      <c r="M173" s="4"/>
      <c r="Q173" s="386"/>
      <c r="R173" s="386"/>
      <c r="S173" s="386"/>
      <c r="T173" s="386"/>
      <c r="V173" s="386"/>
      <c r="W173" s="386"/>
      <c r="X173" s="386"/>
      <c r="Y173" s="386"/>
      <c r="Z173" s="603"/>
      <c r="AA173" s="386"/>
      <c r="AB173" s="386"/>
      <c r="AC173" s="386"/>
      <c r="AE173" s="386"/>
      <c r="AF173" s="386"/>
      <c r="AG173" s="386"/>
      <c r="AH173" s="386"/>
      <c r="AI173" s="386"/>
      <c r="AJ173" s="386"/>
      <c r="AK173" s="386"/>
      <c r="AL173" s="386"/>
      <c r="AN173" s="386"/>
      <c r="AO173" s="386"/>
      <c r="AP173" s="386"/>
      <c r="AQ173" s="386"/>
      <c r="AR173" s="386"/>
      <c r="AS173" s="386"/>
      <c r="AT173" s="386"/>
      <c r="AU173" s="386"/>
      <c r="AV173" s="386"/>
      <c r="AW173" s="386"/>
      <c r="AX173" s="386"/>
      <c r="AY173" s="386"/>
      <c r="AZ173" s="386"/>
      <c r="BA173" s="386"/>
      <c r="BB173" s="386"/>
      <c r="BD173" s="604"/>
      <c r="BE173" s="614"/>
      <c r="BF173" s="614"/>
      <c r="BG173" s="9"/>
      <c r="BH173" s="48"/>
      <c r="BI173" s="386"/>
      <c r="BJ173" s="386"/>
      <c r="BK173" s="386"/>
      <c r="BL173" s="386"/>
      <c r="BM173" s="386"/>
    </row>
    <row r="174" spans="8:65" x14ac:dyDescent="0.2">
      <c r="H174" s="610"/>
      <c r="I174" s="4"/>
      <c r="L174" s="4"/>
      <c r="M174" s="4"/>
      <c r="Q174" s="386"/>
      <c r="R174" s="386"/>
      <c r="S174" s="386"/>
      <c r="T174" s="386"/>
      <c r="V174" s="386"/>
      <c r="W174" s="386"/>
      <c r="X174" s="386"/>
      <c r="Y174" s="386"/>
      <c r="Z174" s="603"/>
      <c r="AA174" s="386"/>
      <c r="AB174" s="386"/>
      <c r="AC174" s="386"/>
      <c r="AE174" s="386"/>
      <c r="AF174" s="386"/>
      <c r="AG174" s="386"/>
      <c r="AH174" s="386"/>
      <c r="AI174" s="386"/>
      <c r="AJ174" s="386"/>
      <c r="AK174" s="386"/>
      <c r="AL174" s="386"/>
      <c r="AN174" s="386"/>
      <c r="AO174" s="386"/>
      <c r="AP174" s="386"/>
      <c r="AQ174" s="386"/>
      <c r="AR174" s="386"/>
      <c r="AS174" s="386"/>
      <c r="AT174" s="386"/>
      <c r="AU174" s="386"/>
      <c r="AV174" s="386"/>
      <c r="AW174" s="386"/>
      <c r="AX174" s="386"/>
      <c r="AY174" s="386"/>
      <c r="AZ174" s="386"/>
      <c r="BA174" s="386"/>
      <c r="BB174" s="386"/>
      <c r="BD174" s="604"/>
      <c r="BE174" s="614"/>
      <c r="BF174" s="614"/>
      <c r="BG174" s="9"/>
      <c r="BH174" s="48"/>
      <c r="BI174" s="386"/>
      <c r="BJ174" s="386"/>
      <c r="BK174" s="386"/>
      <c r="BL174" s="386"/>
      <c r="BM174" s="386"/>
    </row>
    <row r="175" spans="8:65" x14ac:dyDescent="0.2">
      <c r="H175" s="610"/>
      <c r="I175" s="4"/>
      <c r="L175" s="4"/>
      <c r="M175" s="4"/>
      <c r="Q175" s="386"/>
      <c r="R175" s="386"/>
      <c r="S175" s="386"/>
      <c r="T175" s="386"/>
      <c r="V175" s="386"/>
      <c r="W175" s="386"/>
      <c r="X175" s="386"/>
      <c r="Y175" s="386"/>
      <c r="Z175" s="603"/>
      <c r="AA175" s="386"/>
      <c r="AB175" s="386"/>
      <c r="AC175" s="386"/>
      <c r="AE175" s="386"/>
      <c r="AF175" s="386"/>
      <c r="AG175" s="386"/>
      <c r="AH175" s="386"/>
      <c r="AI175" s="386"/>
      <c r="AJ175" s="386"/>
      <c r="AK175" s="386"/>
      <c r="AL175" s="386"/>
      <c r="AN175" s="386"/>
      <c r="AO175" s="386"/>
      <c r="AP175" s="386"/>
      <c r="AQ175" s="386"/>
      <c r="AR175" s="386"/>
      <c r="AS175" s="386"/>
      <c r="AT175" s="386"/>
      <c r="AU175" s="386"/>
      <c r="AV175" s="386"/>
      <c r="AW175" s="386"/>
      <c r="AX175" s="386"/>
      <c r="AY175" s="386"/>
      <c r="AZ175" s="386"/>
      <c r="BA175" s="386"/>
      <c r="BB175" s="386"/>
      <c r="BD175" s="604"/>
      <c r="BE175" s="614"/>
      <c r="BF175" s="614"/>
      <c r="BG175" s="9"/>
      <c r="BH175" s="48"/>
      <c r="BI175" s="386"/>
      <c r="BJ175" s="386"/>
      <c r="BK175" s="386"/>
      <c r="BL175" s="386"/>
      <c r="BM175" s="386"/>
    </row>
    <row r="176" spans="8:65" x14ac:dyDescent="0.2">
      <c r="H176" s="610"/>
      <c r="I176" s="4"/>
      <c r="L176" s="4"/>
      <c r="M176" s="4"/>
      <c r="Q176" s="386"/>
      <c r="R176" s="386"/>
      <c r="S176" s="386"/>
      <c r="T176" s="386"/>
      <c r="V176" s="386"/>
      <c r="W176" s="386"/>
      <c r="X176" s="386"/>
      <c r="Y176" s="386"/>
      <c r="Z176" s="603"/>
      <c r="AA176" s="386"/>
      <c r="AB176" s="386"/>
      <c r="AC176" s="386"/>
      <c r="AE176" s="386"/>
      <c r="AF176" s="386"/>
      <c r="AG176" s="386"/>
      <c r="AH176" s="386"/>
      <c r="AI176" s="386"/>
      <c r="AJ176" s="386"/>
      <c r="AK176" s="386"/>
      <c r="AL176" s="386"/>
      <c r="AN176" s="386"/>
      <c r="AO176" s="386"/>
      <c r="AP176" s="386"/>
      <c r="AQ176" s="386"/>
      <c r="AR176" s="386"/>
      <c r="AS176" s="386"/>
      <c r="AT176" s="386"/>
      <c r="AU176" s="386"/>
      <c r="AV176" s="386"/>
      <c r="AW176" s="386"/>
      <c r="AX176" s="386"/>
      <c r="AY176" s="386"/>
      <c r="AZ176" s="386"/>
      <c r="BA176" s="386"/>
      <c r="BB176" s="386"/>
      <c r="BD176" s="604"/>
      <c r="BE176" s="614"/>
      <c r="BF176" s="614"/>
      <c r="BG176" s="9"/>
      <c r="BH176" s="48"/>
      <c r="BI176" s="386"/>
      <c r="BJ176" s="386"/>
      <c r="BK176" s="386"/>
      <c r="BL176" s="386"/>
      <c r="BM176" s="386"/>
    </row>
    <row r="177" spans="8:65" x14ac:dyDescent="0.2">
      <c r="H177" s="610"/>
      <c r="I177" s="4"/>
      <c r="L177" s="4"/>
      <c r="M177" s="4"/>
      <c r="Q177" s="386"/>
      <c r="R177" s="386"/>
      <c r="S177" s="386"/>
      <c r="T177" s="386"/>
      <c r="V177" s="386"/>
      <c r="W177" s="386"/>
      <c r="X177" s="386"/>
      <c r="Y177" s="386"/>
      <c r="Z177" s="603"/>
      <c r="AA177" s="386"/>
      <c r="AB177" s="386"/>
      <c r="AC177" s="386"/>
      <c r="AE177" s="386"/>
      <c r="AF177" s="386"/>
      <c r="AG177" s="386"/>
      <c r="AH177" s="386"/>
      <c r="AI177" s="386"/>
      <c r="AJ177" s="386"/>
      <c r="AK177" s="386"/>
      <c r="AL177" s="386"/>
      <c r="AN177" s="386"/>
      <c r="AO177" s="386"/>
      <c r="AP177" s="386"/>
      <c r="AQ177" s="386"/>
      <c r="AR177" s="386"/>
      <c r="AS177" s="386"/>
      <c r="AT177" s="386"/>
      <c r="AU177" s="386"/>
      <c r="AV177" s="386"/>
      <c r="AW177" s="386"/>
      <c r="AX177" s="386"/>
      <c r="AY177" s="386"/>
      <c r="AZ177" s="386"/>
      <c r="BA177" s="386"/>
      <c r="BB177" s="386"/>
      <c r="BD177" s="604"/>
      <c r="BE177" s="614"/>
      <c r="BF177" s="614"/>
      <c r="BG177" s="9"/>
      <c r="BH177" s="48"/>
      <c r="BI177" s="386"/>
      <c r="BJ177" s="386"/>
      <c r="BK177" s="386"/>
      <c r="BL177" s="386"/>
      <c r="BM177" s="386"/>
    </row>
    <row r="178" spans="8:65" x14ac:dyDescent="0.2">
      <c r="H178" s="610"/>
      <c r="I178" s="4"/>
      <c r="L178" s="4"/>
      <c r="M178" s="4"/>
      <c r="Q178" s="386"/>
      <c r="R178" s="386"/>
      <c r="S178" s="386"/>
      <c r="T178" s="386"/>
      <c r="V178" s="386"/>
      <c r="W178" s="386"/>
      <c r="X178" s="386"/>
      <c r="Y178" s="386"/>
      <c r="Z178" s="603"/>
      <c r="AA178" s="386"/>
      <c r="AB178" s="386"/>
      <c r="AC178" s="386"/>
      <c r="AE178" s="386"/>
      <c r="AF178" s="386"/>
      <c r="AG178" s="386"/>
      <c r="AH178" s="386"/>
      <c r="AI178" s="386"/>
      <c r="AJ178" s="386"/>
      <c r="AK178" s="386"/>
      <c r="AL178" s="386"/>
      <c r="AN178" s="386"/>
      <c r="AO178" s="386"/>
      <c r="AP178" s="386"/>
      <c r="AQ178" s="386"/>
      <c r="AR178" s="386"/>
      <c r="AS178" s="386"/>
      <c r="AT178" s="386"/>
      <c r="AU178" s="386"/>
      <c r="AV178" s="386"/>
      <c r="AW178" s="386"/>
      <c r="AX178" s="386"/>
      <c r="AY178" s="386"/>
      <c r="AZ178" s="386"/>
      <c r="BA178" s="386"/>
      <c r="BB178" s="386"/>
      <c r="BD178" s="604"/>
      <c r="BE178" s="614"/>
      <c r="BF178" s="614"/>
      <c r="BG178" s="9"/>
      <c r="BH178" s="48"/>
      <c r="BI178" s="386"/>
      <c r="BJ178" s="386"/>
      <c r="BK178" s="386"/>
      <c r="BL178" s="386"/>
      <c r="BM178" s="386"/>
    </row>
    <row r="179" spans="8:65" x14ac:dyDescent="0.2">
      <c r="H179" s="610"/>
      <c r="I179" s="4"/>
      <c r="L179" s="4"/>
      <c r="M179" s="4"/>
      <c r="Q179" s="386"/>
      <c r="R179" s="386"/>
      <c r="S179" s="386"/>
      <c r="T179" s="386"/>
      <c r="V179" s="386"/>
      <c r="W179" s="386"/>
      <c r="X179" s="386"/>
      <c r="Y179" s="386"/>
      <c r="Z179" s="603"/>
      <c r="AA179" s="386"/>
      <c r="AB179" s="386"/>
      <c r="AC179" s="386"/>
      <c r="AE179" s="386"/>
      <c r="AF179" s="386"/>
      <c r="AG179" s="386"/>
      <c r="AH179" s="386"/>
      <c r="AI179" s="386"/>
      <c r="AJ179" s="386"/>
      <c r="AK179" s="386"/>
      <c r="AL179" s="386"/>
      <c r="AN179" s="386"/>
      <c r="AO179" s="386"/>
      <c r="AP179" s="386"/>
      <c r="AQ179" s="386"/>
      <c r="AR179" s="386"/>
      <c r="AS179" s="386"/>
      <c r="AT179" s="386"/>
      <c r="AU179" s="386"/>
      <c r="AV179" s="386"/>
      <c r="AW179" s="386"/>
      <c r="AX179" s="386"/>
      <c r="AY179" s="386"/>
      <c r="AZ179" s="386"/>
      <c r="BA179" s="386"/>
      <c r="BB179" s="386"/>
      <c r="BD179" s="604"/>
      <c r="BE179" s="614"/>
      <c r="BF179" s="614"/>
      <c r="BG179" s="9"/>
      <c r="BH179" s="48"/>
      <c r="BI179" s="386"/>
      <c r="BJ179" s="386"/>
      <c r="BK179" s="386"/>
      <c r="BL179" s="386"/>
      <c r="BM179" s="386"/>
    </row>
    <row r="180" spans="8:65" x14ac:dyDescent="0.2">
      <c r="H180" s="610"/>
      <c r="I180" s="4"/>
      <c r="L180" s="4"/>
      <c r="M180" s="4"/>
      <c r="Q180" s="386"/>
      <c r="R180" s="386"/>
      <c r="S180" s="386"/>
      <c r="T180" s="386"/>
      <c r="V180" s="386"/>
      <c r="W180" s="386"/>
      <c r="X180" s="386"/>
      <c r="Y180" s="386"/>
      <c r="Z180" s="603"/>
      <c r="AA180" s="386"/>
      <c r="AB180" s="386"/>
      <c r="AC180" s="386"/>
      <c r="AE180" s="386"/>
      <c r="AF180" s="386"/>
      <c r="AG180" s="386"/>
      <c r="AH180" s="386"/>
      <c r="AI180" s="386"/>
      <c r="AJ180" s="386"/>
      <c r="AK180" s="386"/>
      <c r="AL180" s="386"/>
      <c r="AN180" s="386"/>
      <c r="AO180" s="386"/>
      <c r="AP180" s="386"/>
      <c r="AQ180" s="386"/>
      <c r="AR180" s="386"/>
      <c r="AS180" s="386"/>
      <c r="AT180" s="386"/>
      <c r="AU180" s="386"/>
      <c r="AV180" s="386"/>
      <c r="AW180" s="386"/>
      <c r="AX180" s="386"/>
      <c r="AY180" s="386"/>
      <c r="AZ180" s="386"/>
      <c r="BA180" s="386"/>
      <c r="BB180" s="386"/>
      <c r="BD180" s="604"/>
      <c r="BE180" s="614"/>
      <c r="BF180" s="614"/>
      <c r="BG180" s="9"/>
      <c r="BH180" s="48"/>
      <c r="BI180" s="386"/>
      <c r="BJ180" s="386"/>
      <c r="BK180" s="386"/>
      <c r="BL180" s="386"/>
      <c r="BM180" s="386"/>
    </row>
    <row r="181" spans="8:65" x14ac:dyDescent="0.2">
      <c r="H181" s="610"/>
      <c r="I181" s="4"/>
      <c r="L181" s="4"/>
      <c r="M181" s="4"/>
      <c r="Q181" s="386"/>
      <c r="R181" s="386"/>
      <c r="S181" s="386"/>
      <c r="T181" s="386"/>
      <c r="V181" s="386"/>
      <c r="W181" s="386"/>
      <c r="X181" s="386"/>
      <c r="Y181" s="386"/>
      <c r="Z181" s="603"/>
      <c r="AA181" s="386"/>
      <c r="AB181" s="386"/>
      <c r="AC181" s="386"/>
      <c r="AE181" s="386"/>
      <c r="AF181" s="386"/>
      <c r="AG181" s="386"/>
      <c r="AH181" s="386"/>
      <c r="AI181" s="386"/>
      <c r="AJ181" s="386"/>
      <c r="AK181" s="386"/>
      <c r="AL181" s="386"/>
      <c r="AN181" s="386"/>
      <c r="AO181" s="386"/>
      <c r="AP181" s="386"/>
      <c r="AQ181" s="386"/>
      <c r="AR181" s="386"/>
      <c r="AS181" s="386"/>
      <c r="AT181" s="386"/>
      <c r="AU181" s="386"/>
      <c r="AV181" s="386"/>
      <c r="AW181" s="386"/>
      <c r="AX181" s="386"/>
      <c r="AY181" s="386"/>
      <c r="AZ181" s="386"/>
      <c r="BA181" s="386"/>
      <c r="BB181" s="386"/>
      <c r="BD181" s="604"/>
      <c r="BE181" s="614"/>
      <c r="BF181" s="614"/>
      <c r="BG181" s="9"/>
      <c r="BH181" s="48"/>
      <c r="BI181" s="386"/>
      <c r="BJ181" s="386"/>
      <c r="BK181" s="386"/>
      <c r="BL181" s="386"/>
      <c r="BM181" s="386"/>
    </row>
    <row r="182" spans="8:65" x14ac:dyDescent="0.2">
      <c r="H182" s="610"/>
      <c r="I182" s="4"/>
      <c r="L182" s="4"/>
      <c r="M182" s="4"/>
      <c r="Q182" s="386"/>
      <c r="R182" s="386"/>
      <c r="S182" s="386"/>
      <c r="T182" s="386"/>
      <c r="V182" s="386"/>
      <c r="W182" s="386"/>
      <c r="X182" s="386"/>
      <c r="Y182" s="386"/>
      <c r="Z182" s="603"/>
      <c r="AA182" s="386"/>
      <c r="AB182" s="386"/>
      <c r="AC182" s="386"/>
      <c r="AE182" s="386"/>
      <c r="AF182" s="386"/>
      <c r="AG182" s="386"/>
      <c r="AH182" s="386"/>
      <c r="AI182" s="386"/>
      <c r="AJ182" s="386"/>
      <c r="AK182" s="386"/>
      <c r="AL182" s="386"/>
      <c r="AN182" s="386"/>
      <c r="AO182" s="386"/>
      <c r="AP182" s="386"/>
      <c r="AQ182" s="386"/>
      <c r="AR182" s="386"/>
      <c r="AS182" s="386"/>
      <c r="AT182" s="386"/>
      <c r="AU182" s="386"/>
      <c r="AV182" s="386"/>
      <c r="AW182" s="386"/>
      <c r="AX182" s="386"/>
      <c r="AY182" s="386"/>
      <c r="AZ182" s="386"/>
      <c r="BA182" s="386"/>
      <c r="BB182" s="386"/>
      <c r="BD182" s="604"/>
      <c r="BE182" s="614"/>
      <c r="BF182" s="614"/>
      <c r="BG182" s="9"/>
      <c r="BH182" s="48"/>
      <c r="BI182" s="386"/>
      <c r="BJ182" s="386"/>
      <c r="BK182" s="386"/>
      <c r="BL182" s="386"/>
      <c r="BM182" s="386"/>
    </row>
    <row r="183" spans="8:65" x14ac:dyDescent="0.2">
      <c r="H183" s="610"/>
      <c r="I183" s="4"/>
      <c r="L183" s="4"/>
      <c r="M183" s="4"/>
      <c r="Q183" s="386"/>
      <c r="R183" s="386"/>
      <c r="S183" s="386"/>
      <c r="T183" s="386"/>
      <c r="V183" s="386"/>
      <c r="W183" s="386"/>
      <c r="X183" s="386"/>
      <c r="Y183" s="386"/>
      <c r="Z183" s="603"/>
      <c r="AA183" s="386"/>
      <c r="AB183" s="386"/>
      <c r="AC183" s="386"/>
      <c r="AE183" s="386"/>
      <c r="AF183" s="386"/>
      <c r="AG183" s="386"/>
      <c r="AH183" s="386"/>
      <c r="AI183" s="386"/>
      <c r="AJ183" s="386"/>
      <c r="AK183" s="386"/>
      <c r="AL183" s="386"/>
      <c r="AN183" s="386"/>
      <c r="AO183" s="386"/>
      <c r="AP183" s="386"/>
      <c r="AQ183" s="386"/>
      <c r="AR183" s="386"/>
      <c r="AS183" s="386"/>
      <c r="AT183" s="386"/>
      <c r="AU183" s="386"/>
      <c r="AV183" s="386"/>
      <c r="AW183" s="386"/>
      <c r="AX183" s="386"/>
      <c r="AY183" s="386"/>
      <c r="AZ183" s="386"/>
      <c r="BA183" s="386"/>
      <c r="BB183" s="386"/>
      <c r="BD183" s="604"/>
      <c r="BE183" s="614"/>
      <c r="BF183" s="614"/>
      <c r="BG183" s="9"/>
      <c r="BH183" s="48"/>
      <c r="BI183" s="386"/>
      <c r="BJ183" s="386"/>
      <c r="BK183" s="386"/>
      <c r="BL183" s="386"/>
      <c r="BM183" s="386"/>
    </row>
    <row r="184" spans="8:65" x14ac:dyDescent="0.2">
      <c r="H184" s="610"/>
      <c r="I184" s="4"/>
      <c r="L184" s="4"/>
      <c r="M184" s="4"/>
      <c r="Q184" s="386"/>
      <c r="R184" s="386"/>
      <c r="S184" s="386"/>
      <c r="T184" s="386"/>
      <c r="V184" s="386"/>
      <c r="W184" s="386"/>
      <c r="X184" s="386"/>
      <c r="Y184" s="386"/>
      <c r="Z184" s="603"/>
      <c r="AA184" s="386"/>
      <c r="AB184" s="386"/>
      <c r="AC184" s="386"/>
      <c r="AE184" s="386"/>
      <c r="AF184" s="386"/>
      <c r="AG184" s="386"/>
      <c r="AH184" s="386"/>
      <c r="AI184" s="386"/>
      <c r="AJ184" s="386"/>
      <c r="AK184" s="386"/>
      <c r="AL184" s="386"/>
      <c r="AN184" s="386"/>
      <c r="AO184" s="386"/>
      <c r="AP184" s="386"/>
      <c r="AQ184" s="386"/>
      <c r="AR184" s="386"/>
      <c r="AS184" s="386"/>
      <c r="AT184" s="386"/>
      <c r="AU184" s="386"/>
      <c r="AV184" s="386"/>
      <c r="AW184" s="386"/>
      <c r="AX184" s="386"/>
      <c r="AY184" s="386"/>
      <c r="AZ184" s="386"/>
      <c r="BA184" s="386"/>
      <c r="BB184" s="386"/>
      <c r="BD184" s="604"/>
      <c r="BE184" s="614"/>
      <c r="BF184" s="614"/>
      <c r="BG184" s="9"/>
      <c r="BH184" s="48"/>
      <c r="BI184" s="386"/>
      <c r="BJ184" s="386"/>
      <c r="BK184" s="386"/>
      <c r="BL184" s="386"/>
      <c r="BM184" s="386"/>
    </row>
    <row r="185" spans="8:65" x14ac:dyDescent="0.2">
      <c r="H185" s="610"/>
      <c r="I185" s="4"/>
      <c r="L185" s="4"/>
      <c r="M185" s="4"/>
      <c r="Q185" s="386"/>
      <c r="R185" s="386"/>
      <c r="S185" s="386"/>
      <c r="T185" s="386"/>
      <c r="V185" s="386"/>
      <c r="W185" s="386"/>
      <c r="X185" s="386"/>
      <c r="Y185" s="386"/>
      <c r="Z185" s="603"/>
      <c r="AA185" s="386"/>
      <c r="AB185" s="386"/>
      <c r="AC185" s="386"/>
      <c r="AE185" s="386"/>
      <c r="AF185" s="386"/>
      <c r="AG185" s="386"/>
      <c r="AH185" s="386"/>
      <c r="AI185" s="386"/>
      <c r="AJ185" s="386"/>
      <c r="AK185" s="386"/>
      <c r="AL185" s="386"/>
      <c r="AN185" s="386"/>
      <c r="AO185" s="386"/>
      <c r="AP185" s="386"/>
      <c r="AQ185" s="386"/>
      <c r="AR185" s="386"/>
      <c r="AS185" s="386"/>
      <c r="AT185" s="386"/>
      <c r="AU185" s="386"/>
      <c r="AV185" s="386"/>
      <c r="AW185" s="386"/>
      <c r="AX185" s="386"/>
      <c r="AY185" s="386"/>
      <c r="AZ185" s="386"/>
      <c r="BA185" s="386"/>
      <c r="BB185" s="386"/>
      <c r="BD185" s="604"/>
      <c r="BE185" s="614"/>
      <c r="BF185" s="614"/>
      <c r="BG185" s="9"/>
      <c r="BH185" s="48"/>
      <c r="BI185" s="386"/>
      <c r="BJ185" s="386"/>
      <c r="BK185" s="386"/>
      <c r="BL185" s="386"/>
      <c r="BM185" s="386"/>
    </row>
    <row r="186" spans="8:65" x14ac:dyDescent="0.2">
      <c r="H186" s="610"/>
      <c r="I186" s="4"/>
      <c r="L186" s="4"/>
      <c r="M186" s="4"/>
      <c r="Q186" s="386"/>
      <c r="R186" s="386"/>
      <c r="S186" s="386"/>
      <c r="T186" s="386"/>
      <c r="V186" s="386"/>
      <c r="W186" s="386"/>
      <c r="X186" s="386"/>
      <c r="Y186" s="386"/>
      <c r="Z186" s="603"/>
      <c r="AA186" s="386"/>
      <c r="AB186" s="386"/>
      <c r="AC186" s="386"/>
      <c r="AE186" s="386"/>
      <c r="AF186" s="386"/>
      <c r="AG186" s="386"/>
      <c r="AH186" s="386"/>
      <c r="AI186" s="386"/>
      <c r="AJ186" s="386"/>
      <c r="AK186" s="386"/>
      <c r="AL186" s="386"/>
      <c r="AN186" s="386"/>
      <c r="AO186" s="386"/>
      <c r="AP186" s="386"/>
      <c r="AQ186" s="386"/>
      <c r="AR186" s="386"/>
      <c r="AS186" s="386"/>
      <c r="AT186" s="386"/>
      <c r="AU186" s="386"/>
      <c r="AV186" s="386"/>
      <c r="AW186" s="386"/>
      <c r="AX186" s="386"/>
      <c r="AY186" s="386"/>
      <c r="AZ186" s="386"/>
      <c r="BA186" s="386"/>
      <c r="BB186" s="386"/>
      <c r="BD186" s="604"/>
      <c r="BE186" s="614"/>
      <c r="BF186" s="614"/>
      <c r="BG186" s="9"/>
      <c r="BH186" s="48"/>
      <c r="BI186" s="386"/>
      <c r="BJ186" s="386"/>
      <c r="BK186" s="386"/>
      <c r="BL186" s="386"/>
      <c r="BM186" s="386"/>
    </row>
    <row r="187" spans="8:65" x14ac:dyDescent="0.2">
      <c r="H187" s="610"/>
      <c r="I187" s="4"/>
      <c r="L187" s="4"/>
      <c r="M187" s="4"/>
      <c r="Q187" s="386"/>
      <c r="R187" s="386"/>
      <c r="S187" s="386"/>
      <c r="T187" s="386"/>
      <c r="V187" s="386"/>
      <c r="W187" s="386"/>
      <c r="X187" s="386"/>
      <c r="Y187" s="386"/>
      <c r="Z187" s="603"/>
      <c r="AA187" s="386"/>
      <c r="AB187" s="386"/>
      <c r="AC187" s="386"/>
      <c r="AE187" s="386"/>
      <c r="AF187" s="386"/>
      <c r="AG187" s="386"/>
      <c r="AH187" s="386"/>
      <c r="AI187" s="386"/>
      <c r="AJ187" s="386"/>
      <c r="AK187" s="386"/>
      <c r="AL187" s="386"/>
      <c r="AN187" s="386"/>
      <c r="AO187" s="386"/>
      <c r="AP187" s="386"/>
      <c r="AQ187" s="386"/>
      <c r="AR187" s="386"/>
      <c r="AS187" s="386"/>
      <c r="AT187" s="386"/>
      <c r="AU187" s="386"/>
      <c r="AV187" s="386"/>
      <c r="AW187" s="386"/>
      <c r="AX187" s="386"/>
      <c r="AY187" s="386"/>
      <c r="AZ187" s="386"/>
      <c r="BA187" s="386"/>
      <c r="BB187" s="386"/>
      <c r="BD187" s="604"/>
      <c r="BE187" s="614"/>
      <c r="BF187" s="614"/>
      <c r="BG187" s="9"/>
      <c r="BH187" s="48"/>
      <c r="BI187" s="386"/>
      <c r="BJ187" s="386"/>
      <c r="BK187" s="386"/>
      <c r="BL187" s="386"/>
      <c r="BM187" s="386"/>
    </row>
    <row r="188" spans="8:65" x14ac:dyDescent="0.2">
      <c r="H188" s="610"/>
      <c r="I188" s="4"/>
      <c r="L188" s="4"/>
      <c r="M188" s="4"/>
      <c r="Q188" s="386"/>
      <c r="R188" s="386"/>
      <c r="S188" s="386"/>
      <c r="T188" s="386"/>
      <c r="V188" s="386"/>
      <c r="W188" s="386"/>
      <c r="X188" s="386"/>
      <c r="Y188" s="386"/>
      <c r="Z188" s="603"/>
      <c r="AA188" s="386"/>
      <c r="AB188" s="386"/>
      <c r="AC188" s="386"/>
      <c r="AE188" s="386"/>
      <c r="AF188" s="386"/>
      <c r="AG188" s="386"/>
      <c r="AH188" s="386"/>
      <c r="AI188" s="386"/>
      <c r="AJ188" s="386"/>
      <c r="AK188" s="386"/>
      <c r="AL188" s="386"/>
      <c r="AN188" s="386"/>
      <c r="AO188" s="386"/>
      <c r="AP188" s="386"/>
      <c r="AQ188" s="386"/>
      <c r="AR188" s="386"/>
      <c r="AS188" s="386"/>
      <c r="AT188" s="386"/>
      <c r="AU188" s="386"/>
      <c r="AV188" s="386"/>
      <c r="AW188" s="386"/>
      <c r="AX188" s="386"/>
      <c r="AY188" s="386"/>
      <c r="AZ188" s="386"/>
      <c r="BA188" s="386"/>
      <c r="BB188" s="386"/>
      <c r="BD188" s="604"/>
      <c r="BE188" s="614"/>
      <c r="BF188" s="614"/>
      <c r="BG188" s="9"/>
      <c r="BH188" s="48"/>
      <c r="BI188" s="386"/>
      <c r="BJ188" s="386"/>
      <c r="BK188" s="386"/>
      <c r="BL188" s="386"/>
      <c r="BM188" s="386"/>
    </row>
    <row r="189" spans="8:65" x14ac:dyDescent="0.2">
      <c r="H189" s="610"/>
      <c r="I189" s="4"/>
      <c r="L189" s="4"/>
      <c r="M189" s="4"/>
      <c r="Q189" s="386"/>
      <c r="R189" s="386"/>
      <c r="S189" s="386"/>
      <c r="T189" s="386"/>
      <c r="V189" s="386"/>
      <c r="W189" s="386"/>
      <c r="X189" s="386"/>
      <c r="Y189" s="386"/>
      <c r="Z189" s="603"/>
      <c r="AA189" s="386"/>
      <c r="AB189" s="386"/>
      <c r="AC189" s="386"/>
      <c r="AE189" s="386"/>
      <c r="AF189" s="386"/>
      <c r="AG189" s="386"/>
      <c r="AH189" s="386"/>
      <c r="AI189" s="386"/>
      <c r="AJ189" s="386"/>
      <c r="AK189" s="386"/>
      <c r="AL189" s="386"/>
      <c r="AN189" s="386"/>
      <c r="AO189" s="386"/>
      <c r="AP189" s="386"/>
      <c r="AQ189" s="386"/>
      <c r="AR189" s="386"/>
      <c r="AS189" s="386"/>
      <c r="AT189" s="386"/>
      <c r="AU189" s="386"/>
      <c r="AV189" s="386"/>
      <c r="AW189" s="386"/>
      <c r="AX189" s="386"/>
      <c r="AY189" s="386"/>
      <c r="AZ189" s="386"/>
      <c r="BA189" s="386"/>
      <c r="BB189" s="386"/>
      <c r="BD189" s="604"/>
      <c r="BE189" s="614"/>
      <c r="BF189" s="614"/>
      <c r="BG189" s="9"/>
      <c r="BH189" s="48"/>
      <c r="BI189" s="386"/>
      <c r="BJ189" s="386"/>
      <c r="BK189" s="386"/>
      <c r="BL189" s="386"/>
      <c r="BM189" s="386"/>
    </row>
    <row r="190" spans="8:65" x14ac:dyDescent="0.2">
      <c r="H190" s="610"/>
      <c r="I190" s="4"/>
      <c r="L190" s="4"/>
      <c r="M190" s="4"/>
      <c r="Q190" s="386"/>
      <c r="R190" s="386"/>
      <c r="S190" s="386"/>
      <c r="T190" s="386"/>
      <c r="V190" s="386"/>
      <c r="W190" s="386"/>
      <c r="X190" s="386"/>
      <c r="Y190" s="386"/>
      <c r="Z190" s="603"/>
      <c r="AA190" s="386"/>
      <c r="AB190" s="386"/>
      <c r="AC190" s="386"/>
      <c r="AE190" s="386"/>
      <c r="AF190" s="386"/>
      <c r="AG190" s="386"/>
      <c r="AH190" s="386"/>
      <c r="AI190" s="386"/>
      <c r="AJ190" s="386"/>
      <c r="AK190" s="386"/>
      <c r="AL190" s="386"/>
      <c r="AN190" s="386"/>
      <c r="AO190" s="386"/>
      <c r="AP190" s="386"/>
      <c r="AQ190" s="386"/>
      <c r="AR190" s="386"/>
      <c r="AS190" s="386"/>
      <c r="AT190" s="386"/>
      <c r="AU190" s="386"/>
      <c r="AV190" s="386"/>
      <c r="AW190" s="386"/>
      <c r="AX190" s="386"/>
      <c r="AY190" s="386"/>
      <c r="AZ190" s="386"/>
      <c r="BA190" s="386"/>
      <c r="BB190" s="386"/>
      <c r="BD190" s="604"/>
      <c r="BE190" s="614"/>
      <c r="BF190" s="614"/>
      <c r="BG190" s="9"/>
      <c r="BH190" s="48"/>
      <c r="BI190" s="386"/>
      <c r="BJ190" s="386"/>
      <c r="BK190" s="386"/>
      <c r="BL190" s="386"/>
      <c r="BM190" s="386"/>
    </row>
    <row r="191" spans="8:65" x14ac:dyDescent="0.2">
      <c r="H191" s="610"/>
      <c r="I191" s="4"/>
      <c r="L191" s="4"/>
      <c r="M191" s="4"/>
      <c r="Q191" s="386"/>
      <c r="R191" s="386"/>
      <c r="S191" s="386"/>
      <c r="T191" s="386"/>
      <c r="V191" s="386"/>
      <c r="W191" s="386"/>
      <c r="X191" s="386"/>
      <c r="Y191" s="386"/>
      <c r="Z191" s="603"/>
      <c r="AA191" s="386"/>
      <c r="AB191" s="386"/>
      <c r="AC191" s="386"/>
      <c r="AE191" s="386"/>
      <c r="AF191" s="386"/>
      <c r="AG191" s="386"/>
      <c r="AH191" s="386"/>
      <c r="AI191" s="386"/>
      <c r="AJ191" s="386"/>
      <c r="AK191" s="386"/>
      <c r="AL191" s="386"/>
      <c r="AN191" s="386"/>
      <c r="AO191" s="386"/>
      <c r="AP191" s="386"/>
      <c r="AQ191" s="386"/>
      <c r="AR191" s="386"/>
      <c r="AS191" s="386"/>
      <c r="AT191" s="386"/>
      <c r="AU191" s="386"/>
      <c r="AV191" s="386"/>
      <c r="AW191" s="386"/>
      <c r="AX191" s="386"/>
      <c r="AY191" s="386"/>
      <c r="AZ191" s="386"/>
      <c r="BA191" s="386"/>
      <c r="BB191" s="386"/>
      <c r="BD191" s="604"/>
      <c r="BE191" s="614"/>
      <c r="BF191" s="614"/>
      <c r="BG191" s="9"/>
      <c r="BH191" s="48"/>
      <c r="BI191" s="386"/>
      <c r="BJ191" s="386"/>
      <c r="BK191" s="386"/>
      <c r="BL191" s="386"/>
      <c r="BM191" s="386"/>
    </row>
    <row r="192" spans="8:65" x14ac:dyDescent="0.2">
      <c r="H192" s="610"/>
      <c r="I192" s="4"/>
      <c r="L192" s="4"/>
      <c r="M192" s="4"/>
      <c r="Q192" s="386"/>
      <c r="R192" s="386"/>
      <c r="S192" s="386"/>
      <c r="T192" s="386"/>
      <c r="V192" s="386"/>
      <c r="W192" s="386"/>
      <c r="X192" s="386"/>
      <c r="Y192" s="386"/>
      <c r="Z192" s="603"/>
      <c r="AA192" s="386"/>
      <c r="AB192" s="386"/>
      <c r="AC192" s="386"/>
      <c r="AE192" s="386"/>
      <c r="AF192" s="386"/>
      <c r="AG192" s="386"/>
      <c r="AH192" s="386"/>
      <c r="AI192" s="386"/>
      <c r="AJ192" s="386"/>
      <c r="AK192" s="386"/>
      <c r="AL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D192" s="604"/>
      <c r="BE192" s="614"/>
      <c r="BF192" s="614"/>
      <c r="BG192" s="9"/>
      <c r="BH192" s="48"/>
      <c r="BI192" s="386"/>
      <c r="BJ192" s="386"/>
      <c r="BK192" s="386"/>
      <c r="BL192" s="386"/>
      <c r="BM192" s="386"/>
    </row>
    <row r="193" spans="8:65" x14ac:dyDescent="0.2">
      <c r="H193" s="610"/>
      <c r="I193" s="4"/>
      <c r="L193" s="4"/>
      <c r="M193" s="4"/>
      <c r="Q193" s="386"/>
      <c r="R193" s="386"/>
      <c r="S193" s="386"/>
      <c r="T193" s="386"/>
      <c r="V193" s="386"/>
      <c r="W193" s="386"/>
      <c r="X193" s="386"/>
      <c r="Y193" s="386"/>
      <c r="Z193" s="603"/>
      <c r="AA193" s="386"/>
      <c r="AB193" s="386"/>
      <c r="AC193" s="386"/>
      <c r="AE193" s="386"/>
      <c r="AF193" s="386"/>
      <c r="AG193" s="386"/>
      <c r="AH193" s="386"/>
      <c r="AI193" s="386"/>
      <c r="AJ193" s="386"/>
      <c r="AK193" s="386"/>
      <c r="AL193" s="386"/>
      <c r="AN193" s="386"/>
      <c r="AO193" s="386"/>
      <c r="AP193" s="386"/>
      <c r="AQ193" s="386"/>
      <c r="AR193" s="386"/>
      <c r="AS193" s="386"/>
      <c r="AT193" s="386"/>
      <c r="AU193" s="386"/>
      <c r="AV193" s="386"/>
      <c r="AW193" s="386"/>
      <c r="AX193" s="386"/>
      <c r="AY193" s="386"/>
      <c r="AZ193" s="386"/>
      <c r="BA193" s="386"/>
      <c r="BB193" s="386"/>
      <c r="BD193" s="604"/>
      <c r="BE193" s="614"/>
      <c r="BF193" s="614"/>
      <c r="BG193" s="9"/>
      <c r="BH193" s="48"/>
      <c r="BI193" s="386"/>
      <c r="BJ193" s="386"/>
      <c r="BK193" s="386"/>
      <c r="BL193" s="386"/>
      <c r="BM193" s="386"/>
    </row>
    <row r="194" spans="8:65" x14ac:dyDescent="0.2">
      <c r="H194" s="610"/>
      <c r="I194" s="4"/>
      <c r="L194" s="4"/>
      <c r="M194" s="4"/>
      <c r="Q194" s="386"/>
      <c r="R194" s="386"/>
      <c r="S194" s="386"/>
      <c r="T194" s="386"/>
      <c r="V194" s="386"/>
      <c r="W194" s="386"/>
      <c r="X194" s="386"/>
      <c r="Y194" s="386"/>
      <c r="Z194" s="603"/>
      <c r="AA194" s="386"/>
      <c r="AB194" s="386"/>
      <c r="AC194" s="386"/>
      <c r="AE194" s="386"/>
      <c r="AF194" s="386"/>
      <c r="AG194" s="386"/>
      <c r="AH194" s="386"/>
      <c r="AI194" s="386"/>
      <c r="AJ194" s="386"/>
      <c r="AK194" s="386"/>
      <c r="AL194" s="386"/>
      <c r="AN194" s="386"/>
      <c r="AO194" s="386"/>
      <c r="AP194" s="386"/>
      <c r="AQ194" s="386"/>
      <c r="AR194" s="386"/>
      <c r="AS194" s="386"/>
      <c r="AT194" s="386"/>
      <c r="AU194" s="386"/>
      <c r="AV194" s="386"/>
      <c r="AW194" s="386"/>
      <c r="AX194" s="386"/>
      <c r="AY194" s="386"/>
      <c r="AZ194" s="386"/>
      <c r="BA194" s="386"/>
      <c r="BB194" s="386"/>
      <c r="BD194" s="604"/>
      <c r="BE194" s="614"/>
      <c r="BF194" s="614"/>
      <c r="BG194" s="9"/>
      <c r="BH194" s="48"/>
      <c r="BI194" s="386"/>
      <c r="BJ194" s="386"/>
      <c r="BK194" s="386"/>
      <c r="BL194" s="386"/>
      <c r="BM194" s="386"/>
    </row>
    <row r="195" spans="8:65" x14ac:dyDescent="0.2">
      <c r="H195" s="610"/>
      <c r="I195" s="4"/>
      <c r="L195" s="4"/>
      <c r="M195" s="4"/>
      <c r="Q195" s="386"/>
      <c r="R195" s="386"/>
      <c r="S195" s="386"/>
      <c r="T195" s="386"/>
      <c r="V195" s="386"/>
      <c r="W195" s="386"/>
      <c r="X195" s="386"/>
      <c r="Y195" s="386"/>
      <c r="Z195" s="603"/>
      <c r="AA195" s="386"/>
      <c r="AB195" s="386"/>
      <c r="AC195" s="386"/>
      <c r="AE195" s="386"/>
      <c r="AF195" s="386"/>
      <c r="AG195" s="386"/>
      <c r="AH195" s="386"/>
      <c r="AI195" s="386"/>
      <c r="AJ195" s="386"/>
      <c r="AK195" s="386"/>
      <c r="AL195" s="386"/>
      <c r="AN195" s="386"/>
      <c r="AO195" s="386"/>
      <c r="AP195" s="386"/>
      <c r="AQ195" s="386"/>
      <c r="AR195" s="386"/>
      <c r="AS195" s="386"/>
      <c r="AT195" s="386"/>
      <c r="AU195" s="386"/>
      <c r="AV195" s="386"/>
      <c r="AW195" s="386"/>
      <c r="AX195" s="386"/>
      <c r="AY195" s="386"/>
      <c r="AZ195" s="386"/>
      <c r="BA195" s="386"/>
      <c r="BB195" s="386"/>
      <c r="BD195" s="604"/>
      <c r="BE195" s="614"/>
      <c r="BF195" s="614"/>
      <c r="BG195" s="9"/>
      <c r="BH195" s="48"/>
      <c r="BI195" s="386"/>
      <c r="BJ195" s="386"/>
      <c r="BK195" s="386"/>
      <c r="BL195" s="386"/>
      <c r="BM195" s="386"/>
    </row>
    <row r="196" spans="8:65" x14ac:dyDescent="0.2">
      <c r="H196" s="610"/>
      <c r="I196" s="4"/>
      <c r="L196" s="4"/>
      <c r="M196" s="4"/>
      <c r="Q196" s="386"/>
      <c r="R196" s="386"/>
      <c r="S196" s="386"/>
      <c r="T196" s="386"/>
      <c r="V196" s="386"/>
      <c r="W196" s="386"/>
      <c r="X196" s="386"/>
      <c r="Y196" s="386"/>
      <c r="Z196" s="603"/>
      <c r="AA196" s="386"/>
      <c r="AB196" s="386"/>
      <c r="AC196" s="386"/>
      <c r="AE196" s="386"/>
      <c r="AF196" s="386"/>
      <c r="AG196" s="386"/>
      <c r="AH196" s="386"/>
      <c r="AI196" s="386"/>
      <c r="AJ196" s="386"/>
      <c r="AK196" s="386"/>
      <c r="AL196" s="386"/>
      <c r="AN196" s="386"/>
      <c r="AO196" s="386"/>
      <c r="AP196" s="386"/>
      <c r="AQ196" s="386"/>
      <c r="AR196" s="386"/>
      <c r="AS196" s="386"/>
      <c r="AT196" s="386"/>
      <c r="AU196" s="386"/>
      <c r="AV196" s="386"/>
      <c r="AW196" s="386"/>
      <c r="AX196" s="386"/>
      <c r="AY196" s="386"/>
      <c r="AZ196" s="386"/>
      <c r="BA196" s="386"/>
      <c r="BB196" s="386"/>
      <c r="BD196" s="604"/>
      <c r="BE196" s="614"/>
      <c r="BF196" s="614"/>
      <c r="BG196" s="9"/>
      <c r="BH196" s="48"/>
      <c r="BI196" s="386"/>
      <c r="BJ196" s="386"/>
      <c r="BK196" s="386"/>
      <c r="BL196" s="386"/>
      <c r="BM196" s="386"/>
    </row>
    <row r="197" spans="8:65" x14ac:dyDescent="0.2">
      <c r="H197" s="610"/>
      <c r="I197" s="4"/>
      <c r="L197" s="4"/>
      <c r="M197" s="4"/>
      <c r="Q197" s="386"/>
      <c r="R197" s="386"/>
      <c r="S197" s="386"/>
      <c r="T197" s="386"/>
      <c r="V197" s="386"/>
      <c r="W197" s="386"/>
      <c r="X197" s="386"/>
      <c r="Y197" s="386"/>
      <c r="Z197" s="603"/>
      <c r="AA197" s="386"/>
      <c r="AB197" s="386"/>
      <c r="AC197" s="386"/>
      <c r="AE197" s="386"/>
      <c r="AF197" s="386"/>
      <c r="AG197" s="386"/>
      <c r="AH197" s="386"/>
      <c r="AI197" s="386"/>
      <c r="AJ197" s="386"/>
      <c r="AK197" s="386"/>
      <c r="AL197" s="386"/>
      <c r="AN197" s="386"/>
      <c r="AO197" s="386"/>
      <c r="AP197" s="386"/>
      <c r="AQ197" s="386"/>
      <c r="AR197" s="386"/>
      <c r="AS197" s="386"/>
      <c r="AT197" s="386"/>
      <c r="AU197" s="386"/>
      <c r="AV197" s="386"/>
      <c r="AW197" s="386"/>
      <c r="AX197" s="386"/>
      <c r="AY197" s="386"/>
      <c r="AZ197" s="386"/>
      <c r="BA197" s="386"/>
      <c r="BB197" s="386"/>
      <c r="BD197" s="604"/>
      <c r="BE197" s="614"/>
      <c r="BF197" s="614"/>
      <c r="BG197" s="9"/>
      <c r="BH197" s="48"/>
      <c r="BI197" s="386"/>
      <c r="BJ197" s="386"/>
      <c r="BK197" s="386"/>
      <c r="BL197" s="386"/>
      <c r="BM197" s="386"/>
    </row>
    <row r="198" spans="8:65" x14ac:dyDescent="0.2">
      <c r="H198" s="610"/>
      <c r="I198" s="4"/>
      <c r="L198" s="4"/>
      <c r="M198" s="4"/>
      <c r="Q198" s="386"/>
      <c r="R198" s="386"/>
      <c r="S198" s="386"/>
      <c r="T198" s="386"/>
      <c r="V198" s="386"/>
      <c r="W198" s="386"/>
      <c r="X198" s="386"/>
      <c r="Y198" s="386"/>
      <c r="Z198" s="603"/>
      <c r="AA198" s="386"/>
      <c r="AB198" s="386"/>
      <c r="AC198" s="386"/>
      <c r="AE198" s="386"/>
      <c r="AF198" s="386"/>
      <c r="AG198" s="386"/>
      <c r="AH198" s="386"/>
      <c r="AI198" s="386"/>
      <c r="AJ198" s="386"/>
      <c r="AK198" s="386"/>
      <c r="AL198" s="386"/>
      <c r="AN198" s="386"/>
      <c r="AO198" s="386"/>
      <c r="AP198" s="386"/>
      <c r="AQ198" s="386"/>
      <c r="AR198" s="386"/>
      <c r="AS198" s="386"/>
      <c r="AT198" s="386"/>
      <c r="AU198" s="386"/>
      <c r="AV198" s="386"/>
      <c r="AW198" s="386"/>
      <c r="AX198" s="386"/>
      <c r="AY198" s="386"/>
      <c r="AZ198" s="386"/>
      <c r="BA198" s="386"/>
      <c r="BB198" s="386"/>
      <c r="BD198" s="604"/>
      <c r="BE198" s="614"/>
      <c r="BF198" s="614"/>
      <c r="BG198" s="9"/>
      <c r="BH198" s="48"/>
      <c r="BI198" s="386"/>
      <c r="BJ198" s="386"/>
      <c r="BK198" s="386"/>
      <c r="BL198" s="386"/>
      <c r="BM198" s="386"/>
    </row>
    <row r="199" spans="8:65" x14ac:dyDescent="0.2">
      <c r="H199" s="610"/>
      <c r="I199" s="4"/>
      <c r="L199" s="4"/>
      <c r="M199" s="4"/>
      <c r="Q199" s="386"/>
      <c r="R199" s="386"/>
      <c r="S199" s="386"/>
      <c r="T199" s="386"/>
      <c r="V199" s="386"/>
      <c r="W199" s="386"/>
      <c r="X199" s="386"/>
      <c r="Y199" s="386"/>
      <c r="Z199" s="603"/>
      <c r="AA199" s="386"/>
      <c r="AB199" s="386"/>
      <c r="AC199" s="386"/>
      <c r="AE199" s="386"/>
      <c r="AF199" s="386"/>
      <c r="AG199" s="386"/>
      <c r="AH199" s="386"/>
      <c r="AI199" s="386"/>
      <c r="AJ199" s="386"/>
      <c r="AK199" s="386"/>
      <c r="AL199" s="386"/>
      <c r="AN199" s="386"/>
      <c r="AO199" s="386"/>
      <c r="AP199" s="386"/>
      <c r="AQ199" s="386"/>
      <c r="AR199" s="386"/>
      <c r="AS199" s="386"/>
      <c r="AT199" s="386"/>
      <c r="AU199" s="386"/>
      <c r="AV199" s="386"/>
      <c r="AW199" s="386"/>
      <c r="AX199" s="386"/>
      <c r="AY199" s="386"/>
      <c r="AZ199" s="386"/>
      <c r="BA199" s="386"/>
      <c r="BB199" s="386"/>
      <c r="BD199" s="604"/>
      <c r="BE199" s="614"/>
      <c r="BF199" s="614"/>
      <c r="BG199" s="9"/>
      <c r="BH199" s="48"/>
      <c r="BI199" s="386"/>
      <c r="BJ199" s="386"/>
      <c r="BK199" s="386"/>
      <c r="BL199" s="386"/>
      <c r="BM199" s="386"/>
    </row>
    <row r="200" spans="8:65" x14ac:dyDescent="0.2">
      <c r="H200" s="610"/>
      <c r="I200" s="4"/>
      <c r="L200" s="4"/>
      <c r="M200" s="4"/>
      <c r="Q200" s="386"/>
      <c r="R200" s="386"/>
      <c r="S200" s="386"/>
      <c r="T200" s="386"/>
      <c r="V200" s="386"/>
      <c r="W200" s="386"/>
      <c r="X200" s="386"/>
      <c r="Y200" s="386"/>
      <c r="Z200" s="603"/>
      <c r="AA200" s="386"/>
      <c r="AB200" s="386"/>
      <c r="AC200" s="386"/>
      <c r="AE200" s="386"/>
      <c r="AF200" s="386"/>
      <c r="AG200" s="386"/>
      <c r="AH200" s="386"/>
      <c r="AI200" s="386"/>
      <c r="AJ200" s="386"/>
      <c r="AK200" s="386"/>
      <c r="AL200" s="386"/>
      <c r="AN200" s="386"/>
      <c r="AO200" s="386"/>
      <c r="AP200" s="386"/>
      <c r="AQ200" s="386"/>
      <c r="AR200" s="386"/>
      <c r="AS200" s="386"/>
      <c r="AT200" s="386"/>
      <c r="AU200" s="386"/>
      <c r="AV200" s="386"/>
      <c r="AW200" s="386"/>
      <c r="AX200" s="386"/>
      <c r="AY200" s="386"/>
      <c r="AZ200" s="386"/>
      <c r="BA200" s="386"/>
      <c r="BB200" s="386"/>
      <c r="BD200" s="604"/>
      <c r="BE200" s="614"/>
      <c r="BF200" s="614"/>
      <c r="BG200" s="9"/>
      <c r="BH200" s="48"/>
      <c r="BI200" s="386"/>
      <c r="BJ200" s="386"/>
      <c r="BK200" s="386"/>
      <c r="BL200" s="386"/>
      <c r="BM200" s="386"/>
    </row>
    <row r="201" spans="8:65" x14ac:dyDescent="0.2">
      <c r="H201" s="610"/>
      <c r="I201" s="4"/>
      <c r="L201" s="4"/>
      <c r="M201" s="4"/>
      <c r="Q201" s="386"/>
      <c r="R201" s="386"/>
      <c r="S201" s="386"/>
      <c r="T201" s="386"/>
      <c r="V201" s="386"/>
      <c r="W201" s="386"/>
      <c r="X201" s="386"/>
      <c r="Y201" s="386"/>
      <c r="Z201" s="603"/>
      <c r="AA201" s="386"/>
      <c r="AB201" s="386"/>
      <c r="AC201" s="386"/>
      <c r="AE201" s="386"/>
      <c r="AF201" s="386"/>
      <c r="AG201" s="386"/>
      <c r="AH201" s="386"/>
      <c r="AI201" s="386"/>
      <c r="AJ201" s="386"/>
      <c r="AK201" s="386"/>
      <c r="AL201" s="386"/>
      <c r="AN201" s="386"/>
      <c r="AO201" s="386"/>
      <c r="AP201" s="386"/>
      <c r="AQ201" s="386"/>
      <c r="AR201" s="386"/>
      <c r="AS201" s="386"/>
      <c r="AT201" s="386"/>
      <c r="AU201" s="386"/>
      <c r="AV201" s="386"/>
      <c r="AW201" s="386"/>
      <c r="AX201" s="386"/>
      <c r="AY201" s="386"/>
      <c r="AZ201" s="386"/>
      <c r="BA201" s="386"/>
      <c r="BB201" s="386"/>
      <c r="BD201" s="604"/>
      <c r="BE201" s="614"/>
      <c r="BF201" s="614"/>
      <c r="BG201" s="9"/>
      <c r="BH201" s="48"/>
      <c r="BI201" s="386"/>
      <c r="BJ201" s="386"/>
      <c r="BK201" s="386"/>
      <c r="BL201" s="386"/>
      <c r="BM201" s="386"/>
    </row>
    <row r="202" spans="8:65" x14ac:dyDescent="0.2">
      <c r="H202" s="610"/>
      <c r="I202" s="4"/>
      <c r="L202" s="4"/>
      <c r="M202" s="4"/>
      <c r="Q202" s="386"/>
      <c r="R202" s="386"/>
      <c r="S202" s="386"/>
      <c r="T202" s="386"/>
      <c r="V202" s="386"/>
      <c r="W202" s="386"/>
      <c r="X202" s="386"/>
      <c r="Y202" s="386"/>
      <c r="Z202" s="603"/>
      <c r="AA202" s="386"/>
      <c r="AB202" s="386"/>
      <c r="AC202" s="386"/>
      <c r="AE202" s="386"/>
      <c r="AF202" s="386"/>
      <c r="AG202" s="386"/>
      <c r="AH202" s="386"/>
      <c r="AI202" s="386"/>
      <c r="AJ202" s="386"/>
      <c r="AK202" s="386"/>
      <c r="AL202" s="386"/>
      <c r="AN202" s="386"/>
      <c r="AO202" s="386"/>
      <c r="AP202" s="386"/>
      <c r="AQ202" s="386"/>
      <c r="AR202" s="386"/>
      <c r="AS202" s="386"/>
      <c r="AT202" s="386"/>
      <c r="AU202" s="386"/>
      <c r="AV202" s="386"/>
      <c r="AW202" s="386"/>
      <c r="AX202" s="386"/>
      <c r="AY202" s="386"/>
      <c r="AZ202" s="386"/>
      <c r="BA202" s="386"/>
      <c r="BB202" s="386"/>
      <c r="BD202" s="604"/>
      <c r="BE202" s="614"/>
      <c r="BF202" s="614"/>
      <c r="BG202" s="9"/>
      <c r="BH202" s="48"/>
      <c r="BI202" s="386"/>
      <c r="BJ202" s="386"/>
      <c r="BK202" s="386"/>
      <c r="BL202" s="386"/>
      <c r="BM202" s="386"/>
    </row>
    <row r="203" spans="8:65" x14ac:dyDescent="0.2">
      <c r="H203" s="610"/>
      <c r="I203" s="4"/>
      <c r="L203" s="4"/>
      <c r="M203" s="4"/>
      <c r="Q203" s="386"/>
      <c r="R203" s="386"/>
      <c r="S203" s="386"/>
      <c r="T203" s="386"/>
      <c r="V203" s="386"/>
      <c r="W203" s="386"/>
      <c r="X203" s="386"/>
      <c r="Y203" s="386"/>
      <c r="Z203" s="603"/>
      <c r="AA203" s="386"/>
      <c r="AB203" s="386"/>
      <c r="AC203" s="386"/>
      <c r="AE203" s="386"/>
      <c r="AF203" s="386"/>
      <c r="AG203" s="386"/>
      <c r="AH203" s="386"/>
      <c r="AI203" s="386"/>
      <c r="AJ203" s="386"/>
      <c r="AK203" s="386"/>
      <c r="AL203" s="386"/>
      <c r="AN203" s="386"/>
      <c r="AO203" s="386"/>
      <c r="AP203" s="386"/>
      <c r="AQ203" s="386"/>
      <c r="AR203" s="386"/>
      <c r="AS203" s="386"/>
      <c r="AT203" s="386"/>
      <c r="AU203" s="386"/>
      <c r="AV203" s="386"/>
      <c r="AW203" s="386"/>
      <c r="AX203" s="386"/>
      <c r="AY203" s="386"/>
      <c r="AZ203" s="386"/>
      <c r="BA203" s="386"/>
      <c r="BB203" s="386"/>
      <c r="BD203" s="604"/>
      <c r="BE203" s="614"/>
      <c r="BF203" s="614"/>
      <c r="BG203" s="9"/>
      <c r="BH203" s="48"/>
      <c r="BI203" s="386"/>
      <c r="BJ203" s="386"/>
      <c r="BK203" s="386"/>
      <c r="BL203" s="386"/>
      <c r="BM203" s="386"/>
    </row>
    <row r="204" spans="8:65" x14ac:dyDescent="0.2">
      <c r="H204" s="610"/>
      <c r="I204" s="4"/>
      <c r="L204" s="4"/>
      <c r="M204" s="4"/>
      <c r="Q204" s="386"/>
      <c r="R204" s="386"/>
      <c r="S204" s="386"/>
      <c r="T204" s="386"/>
      <c r="V204" s="386"/>
      <c r="W204" s="386"/>
      <c r="X204" s="386"/>
      <c r="Y204" s="386"/>
      <c r="Z204" s="603"/>
      <c r="AA204" s="386"/>
      <c r="AB204" s="386"/>
      <c r="AC204" s="386"/>
      <c r="AE204" s="386"/>
      <c r="AF204" s="386"/>
      <c r="AG204" s="386"/>
      <c r="AH204" s="386"/>
      <c r="AI204" s="386"/>
      <c r="AJ204" s="386"/>
      <c r="AK204" s="386"/>
      <c r="AL204" s="386"/>
      <c r="AN204" s="386"/>
      <c r="AO204" s="386"/>
      <c r="AP204" s="386"/>
      <c r="AQ204" s="386"/>
      <c r="AR204" s="386"/>
      <c r="AS204" s="386"/>
      <c r="AT204" s="386"/>
      <c r="AU204" s="386"/>
      <c r="AV204" s="386"/>
      <c r="AW204" s="386"/>
      <c r="AX204" s="386"/>
      <c r="AY204" s="386"/>
      <c r="AZ204" s="386"/>
      <c r="BA204" s="386"/>
      <c r="BB204" s="386"/>
      <c r="BD204" s="604"/>
      <c r="BE204" s="614"/>
      <c r="BF204" s="614"/>
      <c r="BG204" s="9"/>
      <c r="BH204" s="48"/>
      <c r="BI204" s="386"/>
      <c r="BJ204" s="386"/>
      <c r="BK204" s="386"/>
      <c r="BL204" s="386"/>
      <c r="BM204" s="386"/>
    </row>
    <row r="205" spans="8:65" x14ac:dyDescent="0.2">
      <c r="H205" s="610"/>
      <c r="I205" s="4"/>
      <c r="L205" s="4"/>
      <c r="M205" s="4"/>
      <c r="Q205" s="386"/>
      <c r="R205" s="386"/>
      <c r="S205" s="386"/>
      <c r="T205" s="386"/>
      <c r="V205" s="386"/>
      <c r="W205" s="386"/>
      <c r="X205" s="386"/>
      <c r="Y205" s="386"/>
      <c r="Z205" s="603"/>
      <c r="AA205" s="386"/>
      <c r="AB205" s="386"/>
      <c r="AC205" s="386"/>
      <c r="AE205" s="386"/>
      <c r="AF205" s="386"/>
      <c r="AG205" s="386"/>
      <c r="AH205" s="386"/>
      <c r="AI205" s="386"/>
      <c r="AJ205" s="386"/>
      <c r="AK205" s="386"/>
      <c r="AL205" s="386"/>
      <c r="AN205" s="386"/>
      <c r="AO205" s="386"/>
      <c r="AP205" s="386"/>
      <c r="AQ205" s="386"/>
      <c r="AR205" s="386"/>
      <c r="AS205" s="386"/>
      <c r="AT205" s="386"/>
      <c r="AU205" s="386"/>
      <c r="AV205" s="386"/>
      <c r="AW205" s="386"/>
      <c r="AX205" s="386"/>
      <c r="AY205" s="386"/>
      <c r="AZ205" s="386"/>
      <c r="BA205" s="386"/>
      <c r="BB205" s="386"/>
      <c r="BD205" s="604"/>
      <c r="BE205" s="614"/>
      <c r="BF205" s="614"/>
      <c r="BG205" s="9"/>
      <c r="BH205" s="48"/>
      <c r="BI205" s="386"/>
      <c r="BJ205" s="386"/>
      <c r="BK205" s="386"/>
      <c r="BL205" s="386"/>
      <c r="BM205" s="386"/>
    </row>
    <row r="206" spans="8:65" x14ac:dyDescent="0.2">
      <c r="H206" s="610"/>
      <c r="I206" s="4"/>
      <c r="L206" s="4"/>
      <c r="M206" s="4"/>
      <c r="Q206" s="386"/>
      <c r="R206" s="386"/>
      <c r="S206" s="386"/>
      <c r="T206" s="386"/>
      <c r="V206" s="386"/>
      <c r="W206" s="386"/>
      <c r="X206" s="386"/>
      <c r="Y206" s="386"/>
      <c r="Z206" s="603"/>
      <c r="AA206" s="386"/>
      <c r="AB206" s="386"/>
      <c r="AC206" s="386"/>
      <c r="AE206" s="386"/>
      <c r="AF206" s="386"/>
      <c r="AG206" s="386"/>
      <c r="AH206" s="386"/>
      <c r="AI206" s="386"/>
      <c r="AJ206" s="386"/>
      <c r="AK206" s="386"/>
      <c r="AL206" s="386"/>
      <c r="AN206" s="386"/>
      <c r="AO206" s="386"/>
      <c r="AP206" s="386"/>
      <c r="AQ206" s="386"/>
      <c r="AR206" s="386"/>
      <c r="AS206" s="386"/>
      <c r="AT206" s="386"/>
      <c r="AU206" s="386"/>
      <c r="AV206" s="386"/>
      <c r="AW206" s="386"/>
      <c r="AX206" s="386"/>
      <c r="AY206" s="386"/>
      <c r="AZ206" s="386"/>
      <c r="BA206" s="386"/>
      <c r="BB206" s="386"/>
      <c r="BD206" s="604"/>
      <c r="BE206" s="614"/>
      <c r="BF206" s="614"/>
      <c r="BG206" s="9"/>
      <c r="BH206" s="48"/>
      <c r="BI206" s="386"/>
      <c r="BJ206" s="386"/>
      <c r="BK206" s="386"/>
      <c r="BL206" s="386"/>
      <c r="BM206" s="386"/>
    </row>
    <row r="207" spans="8:65" x14ac:dyDescent="0.2">
      <c r="H207" s="610"/>
      <c r="I207" s="4"/>
      <c r="L207" s="4"/>
      <c r="M207" s="4"/>
      <c r="Q207" s="386"/>
      <c r="R207" s="386"/>
      <c r="S207" s="386"/>
      <c r="T207" s="386"/>
      <c r="V207" s="386"/>
      <c r="W207" s="386"/>
      <c r="X207" s="386"/>
      <c r="Y207" s="386"/>
      <c r="Z207" s="603"/>
      <c r="AA207" s="386"/>
      <c r="AB207" s="386"/>
      <c r="AC207" s="386"/>
      <c r="AE207" s="386"/>
      <c r="AF207" s="386"/>
      <c r="AG207" s="386"/>
      <c r="AH207" s="386"/>
      <c r="AI207" s="386"/>
      <c r="AJ207" s="386"/>
      <c r="AK207" s="386"/>
      <c r="AL207" s="386"/>
      <c r="AN207" s="386"/>
      <c r="AO207" s="386"/>
      <c r="AP207" s="386"/>
      <c r="AQ207" s="386"/>
      <c r="AR207" s="386"/>
      <c r="AS207" s="386"/>
      <c r="AT207" s="386"/>
      <c r="AU207" s="386"/>
      <c r="AV207" s="386"/>
      <c r="AW207" s="386"/>
      <c r="AX207" s="386"/>
      <c r="AY207" s="386"/>
      <c r="AZ207" s="386"/>
      <c r="BA207" s="386"/>
      <c r="BB207" s="386"/>
      <c r="BD207" s="604"/>
      <c r="BE207" s="614"/>
      <c r="BF207" s="614"/>
      <c r="BG207" s="9"/>
      <c r="BH207" s="48"/>
      <c r="BI207" s="386"/>
      <c r="BJ207" s="386"/>
      <c r="BK207" s="386"/>
      <c r="BL207" s="386"/>
      <c r="BM207" s="386"/>
    </row>
    <row r="208" spans="8:65" x14ac:dyDescent="0.2">
      <c r="H208" s="610"/>
      <c r="I208" s="4"/>
      <c r="L208" s="4"/>
      <c r="M208" s="4"/>
      <c r="Q208" s="386"/>
      <c r="R208" s="386"/>
      <c r="S208" s="386"/>
      <c r="T208" s="386"/>
      <c r="V208" s="386"/>
      <c r="W208" s="386"/>
      <c r="X208" s="386"/>
      <c r="Y208" s="386"/>
      <c r="Z208" s="603"/>
      <c r="AA208" s="386"/>
      <c r="AB208" s="386"/>
      <c r="AC208" s="386"/>
      <c r="AE208" s="386"/>
      <c r="AF208" s="386"/>
      <c r="AG208" s="386"/>
      <c r="AH208" s="386"/>
      <c r="AI208" s="386"/>
      <c r="AJ208" s="386"/>
      <c r="AK208" s="386"/>
      <c r="AL208" s="386"/>
      <c r="AN208" s="386"/>
      <c r="AO208" s="386"/>
      <c r="AP208" s="386"/>
      <c r="AQ208" s="386"/>
      <c r="AR208" s="386"/>
      <c r="AS208" s="386"/>
      <c r="AT208" s="386"/>
      <c r="AU208" s="386"/>
      <c r="AV208" s="386"/>
      <c r="AW208" s="386"/>
      <c r="AX208" s="386"/>
      <c r="AY208" s="386"/>
      <c r="AZ208" s="386"/>
      <c r="BA208" s="386"/>
      <c r="BB208" s="386"/>
      <c r="BD208" s="604"/>
      <c r="BE208" s="614"/>
      <c r="BF208" s="614"/>
      <c r="BG208" s="9"/>
      <c r="BH208" s="48"/>
      <c r="BI208" s="386"/>
      <c r="BJ208" s="386"/>
      <c r="BK208" s="386"/>
      <c r="BL208" s="386"/>
      <c r="BM208" s="386"/>
    </row>
    <row r="209" spans="8:65" x14ac:dyDescent="0.2">
      <c r="H209" s="610"/>
      <c r="I209" s="4"/>
      <c r="L209" s="4"/>
      <c r="M209" s="4"/>
      <c r="Q209" s="386"/>
      <c r="R209" s="386"/>
      <c r="S209" s="386"/>
      <c r="T209" s="386"/>
      <c r="V209" s="386"/>
      <c r="W209" s="386"/>
      <c r="X209" s="386"/>
      <c r="Y209" s="386"/>
      <c r="Z209" s="603"/>
      <c r="AA209" s="386"/>
      <c r="AB209" s="386"/>
      <c r="AC209" s="386"/>
      <c r="AE209" s="386"/>
      <c r="AF209" s="386"/>
      <c r="AG209" s="386"/>
      <c r="AH209" s="386"/>
      <c r="AI209" s="386"/>
      <c r="AJ209" s="386"/>
      <c r="AK209" s="386"/>
      <c r="AL209" s="386"/>
      <c r="AN209" s="386"/>
      <c r="AO209" s="386"/>
      <c r="AP209" s="386"/>
      <c r="AQ209" s="386"/>
      <c r="AR209" s="386"/>
      <c r="AS209" s="386"/>
      <c r="AT209" s="386"/>
      <c r="AU209" s="386"/>
      <c r="AV209" s="386"/>
      <c r="AW209" s="386"/>
      <c r="AX209" s="386"/>
      <c r="AY209" s="386"/>
      <c r="AZ209" s="386"/>
      <c r="BA209" s="386"/>
      <c r="BB209" s="386"/>
      <c r="BD209" s="604"/>
      <c r="BE209" s="614"/>
      <c r="BF209" s="614"/>
      <c r="BG209" s="9"/>
      <c r="BH209" s="48"/>
      <c r="BI209" s="386"/>
      <c r="BJ209" s="386"/>
      <c r="BK209" s="386"/>
      <c r="BL209" s="386"/>
      <c r="BM209" s="386"/>
    </row>
  </sheetData>
  <sheetProtection selectLockedCells="1"/>
  <mergeCells count="13">
    <mergeCell ref="BH7:BM7"/>
    <mergeCell ref="AA7:AE7"/>
    <mergeCell ref="AF7:AI7"/>
    <mergeCell ref="AJ7:AN7"/>
    <mergeCell ref="AO7:AR7"/>
    <mergeCell ref="AX7:BA7"/>
    <mergeCell ref="BB7:BF7"/>
    <mergeCell ref="X7:Z7"/>
    <mergeCell ref="A1:D4"/>
    <mergeCell ref="A6:D7"/>
    <mergeCell ref="G7:P7"/>
    <mergeCell ref="Q7:T7"/>
    <mergeCell ref="U7:W7"/>
  </mergeCells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E687"/>
  <sheetViews>
    <sheetView zoomScaleNormal="100" workbookViewId="0">
      <pane ySplit="11" topLeftCell="A13" activePane="bottomLeft" state="frozen"/>
      <selection activeCell="A93" sqref="A93"/>
      <selection pane="bottomLeft" activeCell="K5" sqref="K5"/>
    </sheetView>
  </sheetViews>
  <sheetFormatPr defaultColWidth="9.140625" defaultRowHeight="12.75" x14ac:dyDescent="0.2"/>
  <cols>
    <col min="1" max="1" width="16.140625" style="345" customWidth="1"/>
    <col min="2" max="2" width="15.7109375" style="345" customWidth="1"/>
    <col min="3" max="3" width="10" style="345" customWidth="1"/>
    <col min="4" max="4" width="10.85546875" style="345" customWidth="1"/>
    <col min="5" max="5" width="10.140625" style="345" customWidth="1"/>
    <col min="6" max="8" width="11.85546875" style="345" customWidth="1"/>
    <col min="9" max="9" width="14.28515625" style="345" customWidth="1"/>
    <col min="10" max="10" width="11" style="345" customWidth="1"/>
    <col min="11" max="11" width="12" style="345" customWidth="1"/>
    <col min="12" max="12" width="11.42578125" style="345" customWidth="1"/>
    <col min="13" max="13" width="10.85546875" style="345" customWidth="1"/>
    <col min="14" max="14" width="11.42578125" style="345" customWidth="1"/>
    <col min="15" max="15" width="12.28515625" style="345" customWidth="1"/>
    <col min="16" max="16" width="12.140625" style="345" customWidth="1"/>
    <col min="17" max="17" width="9.42578125" style="345" customWidth="1"/>
    <col min="18" max="18" width="16.140625" style="345" bestFit="1" customWidth="1"/>
    <col min="19" max="19" width="13.140625" style="385" customWidth="1"/>
    <col min="20" max="20" width="9.140625" style="345"/>
    <col min="21" max="21" width="13.42578125" style="345" bestFit="1" customWidth="1"/>
    <col min="22" max="22" width="9.28515625" style="345" bestFit="1" customWidth="1"/>
    <col min="23" max="23" width="9.140625" style="345"/>
    <col min="24" max="24" width="13.5703125" style="345" customWidth="1"/>
    <col min="25" max="25" width="10.5703125" style="345" customWidth="1"/>
    <col min="26" max="26" width="9.140625" style="345"/>
    <col min="27" max="27" width="9.28515625" style="345" bestFit="1" customWidth="1"/>
    <col min="28" max="28" width="11.28515625" style="345" bestFit="1" customWidth="1"/>
    <col min="29" max="29" width="9.140625" style="345"/>
    <col min="30" max="30" width="12.28515625" customWidth="1"/>
    <col min="31" max="31" width="8.85546875" customWidth="1"/>
    <col min="32" max="16384" width="9.140625" style="345"/>
  </cols>
  <sheetData>
    <row r="1" spans="1:31" ht="13.5" thickBot="1" x14ac:dyDescent="0.25"/>
    <row r="2" spans="1:31" x14ac:dyDescent="0.2">
      <c r="A2" s="725" t="s">
        <v>586</v>
      </c>
      <c r="B2" s="726"/>
      <c r="C2" s="727"/>
      <c r="D2" s="728"/>
      <c r="E2" s="725" t="s">
        <v>473</v>
      </c>
      <c r="F2" s="726"/>
      <c r="G2" s="726"/>
      <c r="H2" s="436"/>
      <c r="I2" s="453"/>
      <c r="J2" s="725" t="s">
        <v>584</v>
      </c>
      <c r="K2" s="727"/>
      <c r="L2" s="728"/>
      <c r="M2" s="725" t="s">
        <v>585</v>
      </c>
      <c r="N2" s="727"/>
      <c r="O2" s="728"/>
      <c r="P2" s="725" t="s">
        <v>474</v>
      </c>
      <c r="Q2" s="726"/>
      <c r="R2" s="734"/>
      <c r="AD2" s="118"/>
      <c r="AE2" s="118"/>
    </row>
    <row r="3" spans="1:31" x14ac:dyDescent="0.2">
      <c r="B3" s="346" t="s">
        <v>475</v>
      </c>
      <c r="C3" s="439">
        <f>Afb</f>
        <v>6.6666666666666666E-2</v>
      </c>
      <c r="D3" s="348" t="s">
        <v>30</v>
      </c>
      <c r="E3" s="349" t="s">
        <v>476</v>
      </c>
      <c r="F3" s="347">
        <f>Acs</f>
        <v>50</v>
      </c>
      <c r="G3" s="348" t="s">
        <v>583</v>
      </c>
      <c r="H3" s="451" t="s">
        <v>492</v>
      </c>
      <c r="I3" s="464">
        <f>gm</f>
        <v>1.2700000000000001E-3</v>
      </c>
      <c r="J3" s="349" t="s">
        <v>611</v>
      </c>
      <c r="K3" s="350">
        <f>Fesr</f>
        <v>132629.11939479699</v>
      </c>
      <c r="L3" s="348" t="s">
        <v>10</v>
      </c>
      <c r="M3" s="349" t="s">
        <v>478</v>
      </c>
      <c r="N3" s="350">
        <f>Fsw/2</f>
        <v>125000</v>
      </c>
      <c r="O3" s="348" t="s">
        <v>10</v>
      </c>
      <c r="P3" s="351" t="s">
        <v>479</v>
      </c>
      <c r="Q3" s="350">
        <f>Am*Afb*AEA</f>
        <v>31575.650565166918</v>
      </c>
      <c r="R3" s="348" t="s">
        <v>30</v>
      </c>
    </row>
    <row r="4" spans="1:31" x14ac:dyDescent="0.2">
      <c r="B4" s="346" t="s">
        <v>618</v>
      </c>
      <c r="C4" s="350">
        <f>Fz1_u</f>
        <v>779.14007575148753</v>
      </c>
      <c r="D4" s="348" t="s">
        <v>10</v>
      </c>
      <c r="E4" s="349" t="s">
        <v>481</v>
      </c>
      <c r="F4" s="355">
        <f>Am</f>
        <v>18.647037735334795</v>
      </c>
      <c r="G4" s="348" t="s">
        <v>30</v>
      </c>
      <c r="H4" s="452"/>
      <c r="I4" s="452"/>
      <c r="J4" s="349" t="s">
        <v>610</v>
      </c>
      <c r="K4" s="350">
        <f>Fp_dominant</f>
        <v>708.60177529641101</v>
      </c>
      <c r="L4" s="348" t="s">
        <v>10</v>
      </c>
      <c r="M4" s="349" t="s">
        <v>483</v>
      </c>
      <c r="N4" s="437">
        <f>Q*pole3</f>
        <v>50666.931445044989</v>
      </c>
      <c r="O4" s="348"/>
      <c r="P4" s="351" t="s">
        <v>484</v>
      </c>
      <c r="Q4" s="391">
        <f>AE7</f>
        <v>6.7608000000000006</v>
      </c>
      <c r="R4" s="348" t="s">
        <v>3</v>
      </c>
    </row>
    <row r="5" spans="1:31" x14ac:dyDescent="0.2">
      <c r="B5" s="346" t="s">
        <v>617</v>
      </c>
      <c r="C5" s="355">
        <f>Fp1_u</f>
        <v>0.24106924251452713</v>
      </c>
      <c r="D5" s="348" t="s">
        <v>10</v>
      </c>
      <c r="E5" s="349" t="s">
        <v>29</v>
      </c>
      <c r="F5" s="439">
        <f>Q</f>
        <v>0.40533545156035994</v>
      </c>
      <c r="G5" s="348"/>
      <c r="H5" s="452"/>
      <c r="I5" s="452"/>
      <c r="J5" s="349" t="s">
        <v>612</v>
      </c>
      <c r="K5" s="350">
        <f>IF(VIN_nom&gt;Vout, 10000000,Frhp)</f>
        <v>33610.012463615807</v>
      </c>
      <c r="L5" s="348" t="s">
        <v>10</v>
      </c>
      <c r="M5" s="349" t="s">
        <v>486</v>
      </c>
      <c r="N5" s="347">
        <f>pole3^2</f>
        <v>15625000000</v>
      </c>
      <c r="O5" s="348"/>
      <c r="P5" s="351" t="s">
        <v>487</v>
      </c>
      <c r="Q5" s="355">
        <f>AE9</f>
        <v>58.245843408507994</v>
      </c>
      <c r="R5" s="418" t="s">
        <v>552</v>
      </c>
    </row>
    <row r="6" spans="1:31" x14ac:dyDescent="0.2">
      <c r="B6" s="346" t="s">
        <v>488</v>
      </c>
      <c r="C6" s="347">
        <f>AEA</f>
        <v>25400</v>
      </c>
      <c r="D6" s="348" t="s">
        <v>30</v>
      </c>
      <c r="E6" s="349" t="s">
        <v>517</v>
      </c>
      <c r="F6" s="439">
        <f>mc</f>
        <v>1.2901234567901234</v>
      </c>
      <c r="G6" s="451"/>
      <c r="H6" s="454"/>
      <c r="I6" s="354"/>
      <c r="J6" s="352"/>
      <c r="K6" s="353"/>
      <c r="L6" s="354"/>
      <c r="M6" s="352"/>
      <c r="N6" s="467"/>
      <c r="O6" s="354"/>
      <c r="P6" s="435" t="s">
        <v>489</v>
      </c>
      <c r="Q6" s="353">
        <f>180/Pi</f>
        <v>57.295779578552292</v>
      </c>
      <c r="R6" s="354"/>
      <c r="AD6" s="5" t="s">
        <v>50</v>
      </c>
      <c r="AE6" s="5"/>
    </row>
    <row r="7" spans="1:31" ht="13.5" thickBot="1" x14ac:dyDescent="0.25">
      <c r="B7" s="431" t="s">
        <v>616</v>
      </c>
      <c r="C7" s="438">
        <f>Fp2_u</f>
        <v>25078.005445023155</v>
      </c>
      <c r="D7" s="433" t="s">
        <v>10</v>
      </c>
      <c r="E7" s="432" t="s">
        <v>491</v>
      </c>
      <c r="F7" s="434">
        <f>k</f>
        <v>1.2852998925264549</v>
      </c>
      <c r="G7" s="434"/>
      <c r="H7" s="455"/>
      <c r="I7" s="433"/>
      <c r="J7" s="432"/>
      <c r="K7" s="432"/>
      <c r="L7" s="433"/>
      <c r="M7" s="432"/>
      <c r="N7" s="432"/>
      <c r="O7" s="433"/>
      <c r="P7" s="432"/>
      <c r="Q7" s="432"/>
      <c r="R7" s="433"/>
      <c r="AD7" t="s">
        <v>47</v>
      </c>
      <c r="AE7">
        <f>SUM(AD12:AD613)/1000</f>
        <v>6.7608000000000006</v>
      </c>
    </row>
    <row r="8" spans="1:31" x14ac:dyDescent="0.2">
      <c r="B8" s="440"/>
      <c r="C8" s="441"/>
      <c r="F8" s="442"/>
      <c r="G8" s="442"/>
      <c r="H8" s="442"/>
    </row>
    <row r="9" spans="1:31" ht="13.5" thickBot="1" x14ac:dyDescent="0.25">
      <c r="AD9" t="s">
        <v>48</v>
      </c>
      <c r="AE9" s="4">
        <f>SUM(AE13:AE613)</f>
        <v>58.245843408507994</v>
      </c>
    </row>
    <row r="10" spans="1:31" ht="15" x14ac:dyDescent="0.25">
      <c r="A10" s="729" t="s">
        <v>626</v>
      </c>
      <c r="B10" s="723"/>
      <c r="C10" s="737" t="s">
        <v>493</v>
      </c>
      <c r="D10" s="738"/>
      <c r="E10" s="738"/>
      <c r="F10" s="738"/>
      <c r="G10" s="738"/>
      <c r="H10" s="739"/>
      <c r="I10" s="737" t="s">
        <v>494</v>
      </c>
      <c r="J10" s="738"/>
      <c r="K10" s="738"/>
      <c r="L10" s="738"/>
      <c r="M10" s="738"/>
      <c r="N10" s="739"/>
      <c r="O10" s="732" t="s">
        <v>495</v>
      </c>
      <c r="P10" s="733"/>
      <c r="Q10" s="732" t="s">
        <v>496</v>
      </c>
      <c r="R10" s="740"/>
      <c r="S10" s="741"/>
      <c r="X10" s="742" t="s">
        <v>497</v>
      </c>
      <c r="Y10" s="743"/>
      <c r="AA10" s="742" t="s">
        <v>498</v>
      </c>
      <c r="AB10" s="743"/>
    </row>
    <row r="11" spans="1:31" x14ac:dyDescent="0.2">
      <c r="A11" s="730"/>
      <c r="B11" s="724"/>
      <c r="C11" s="744" t="s">
        <v>610</v>
      </c>
      <c r="D11" s="745"/>
      <c r="E11" s="745" t="s">
        <v>611</v>
      </c>
      <c r="F11" s="746"/>
      <c r="G11" s="735" t="s">
        <v>612</v>
      </c>
      <c r="H11" s="736"/>
      <c r="I11" s="744" t="s">
        <v>482</v>
      </c>
      <c r="J11" s="745"/>
      <c r="K11" s="745" t="s">
        <v>477</v>
      </c>
      <c r="L11" s="746"/>
      <c r="M11" s="735" t="s">
        <v>485</v>
      </c>
      <c r="N11" s="736"/>
      <c r="O11" s="744" t="s">
        <v>478</v>
      </c>
      <c r="P11" s="746"/>
      <c r="Q11" s="349"/>
      <c r="R11" s="347"/>
      <c r="S11" s="392"/>
      <c r="X11" s="349"/>
      <c r="Y11" s="348"/>
      <c r="AA11" s="349"/>
      <c r="AB11" s="348"/>
    </row>
    <row r="12" spans="1:31" ht="13.5" thickBot="1" x14ac:dyDescent="0.25">
      <c r="A12" s="731"/>
      <c r="B12" s="389"/>
      <c r="C12" s="356" t="s">
        <v>499</v>
      </c>
      <c r="D12" s="357" t="s">
        <v>500</v>
      </c>
      <c r="E12" s="357" t="s">
        <v>499</v>
      </c>
      <c r="F12" s="358" t="s">
        <v>500</v>
      </c>
      <c r="G12" s="357" t="s">
        <v>499</v>
      </c>
      <c r="H12" s="358" t="s">
        <v>500</v>
      </c>
      <c r="I12" s="356" t="s">
        <v>499</v>
      </c>
      <c r="J12" s="357" t="s">
        <v>500</v>
      </c>
      <c r="K12" s="357" t="s">
        <v>499</v>
      </c>
      <c r="L12" s="358" t="s">
        <v>500</v>
      </c>
      <c r="M12" s="356" t="s">
        <v>499</v>
      </c>
      <c r="N12" s="357" t="s">
        <v>500</v>
      </c>
      <c r="O12" s="356" t="s">
        <v>499</v>
      </c>
      <c r="P12" s="358" t="s">
        <v>500</v>
      </c>
      <c r="Q12" s="356" t="s">
        <v>501</v>
      </c>
      <c r="R12" s="357" t="s">
        <v>502</v>
      </c>
      <c r="S12" s="393" t="s">
        <v>503</v>
      </c>
      <c r="V12" s="359" t="s">
        <v>504</v>
      </c>
      <c r="X12" s="360" t="s">
        <v>505</v>
      </c>
      <c r="Y12" s="361" t="s">
        <v>506</v>
      </c>
      <c r="AA12" s="360" t="s">
        <v>505</v>
      </c>
      <c r="AB12" s="361" t="s">
        <v>506</v>
      </c>
    </row>
    <row r="13" spans="1:31" x14ac:dyDescent="0.2">
      <c r="A13" s="362">
        <v>1</v>
      </c>
      <c r="B13" s="390">
        <f>A13/1000</f>
        <v>1E-3</v>
      </c>
      <c r="C13" s="363">
        <f t="shared" ref="C13:C76" si="0">SQRT(1+(A13/pole1)^2)</f>
        <v>1.0000009957843947</v>
      </c>
      <c r="D13" s="364">
        <f t="shared" ref="D13:D76" si="1">ATAN(A13/pole1)</f>
        <v>1.411228945518653E-3</v>
      </c>
      <c r="E13" s="364">
        <f t="shared" ref="E13:E76" si="2">SQRT(1+(A13/Zero1)^2)</f>
        <v>1.0000000000284244</v>
      </c>
      <c r="F13" s="365">
        <f t="shared" ref="F13:F76" si="3">ATAN(A13/Zero1)</f>
        <v>7.5398223598571233E-6</v>
      </c>
      <c r="G13" s="364">
        <f t="shared" ref="G13:G76" si="4">IF(VIN_nom&gt;Vout, 1, SQRT(1+(A13/z_RHP)^2))</f>
        <v>1.0000000004426215</v>
      </c>
      <c r="H13" s="365">
        <f t="shared" ref="H13:H76" si="5">IF(VIN_nom&gt;Vout, 0, -ATAN(A13/z_RHP))</f>
        <v>-2.9753038645476824E-5</v>
      </c>
      <c r="I13" s="363">
        <f t="shared" ref="I13:I76" si="6">SQRT(1+(A13/Pole2)^2)</f>
        <v>4.2670182955805966</v>
      </c>
      <c r="J13" s="366">
        <f t="shared" ref="J13:J76" si="7">ATAN(A13/Pole2)</f>
        <v>1.3342405832428517</v>
      </c>
      <c r="K13" s="364">
        <f t="shared" ref="K13:K76" si="8">SQRT(1+(A13/Zero2)^2)</f>
        <v>1.0000008236424827</v>
      </c>
      <c r="L13" s="365">
        <f t="shared" ref="L13:L76" si="9">ATAN(A13/Zero2)</f>
        <v>1.2834655564865145E-3</v>
      </c>
      <c r="M13" s="363">
        <f t="shared" ref="M13:M76" si="10">SQRT(1+(A13/pole4)^2)</f>
        <v>1.0000000007950309</v>
      </c>
      <c r="N13" s="366">
        <f t="shared" ref="N13:N76" si="11">ATAN(A13/pole4)</f>
        <v>3.987557948586513E-5</v>
      </c>
      <c r="O13" s="367">
        <f t="shared" ref="O13:O76" si="12">SQRT((1-(V13/pterm2))^2+(A13/pterm1)^2)</f>
        <v>1.0000000001307694</v>
      </c>
      <c r="P13" s="368">
        <f t="shared" ref="P13:P76" si="13">IF((ATAN((A13/pterm1)/(1-A13^2/pterm2))&gt;0),ATAN((A13/pterm1)/(1-A13^2/pterm2)),PI()+ATAN((A13/pterm1)/(1-A13^2/pterm2)))</f>
        <v>1.9736738961955621E-5</v>
      </c>
      <c r="Q13" s="369">
        <f t="shared" ref="Q13:Q76" si="14">20*LOG10(((E13*K13*G13)/(C13*I13*O13*M13))*Adc)</f>
        <v>77.384554546408935</v>
      </c>
      <c r="R13" s="370">
        <f t="shared" ref="R13:R76" si="15">((F13+L13+H13)-(D13+J13+P13+N13))*radconv</f>
        <v>-76.458362923019664</v>
      </c>
      <c r="S13" s="394">
        <f t="shared" ref="S13:S76" si="16">IF(R13&gt;0,R13,R13+180)</f>
        <v>103.54163707698034</v>
      </c>
      <c r="U13" s="345">
        <f>IF(Q13&lt;0,A13,1000000000)</f>
        <v>1000000000</v>
      </c>
      <c r="V13" s="345">
        <f>A13^2</f>
        <v>1</v>
      </c>
      <c r="X13" s="371">
        <f t="shared" ref="X13:X76" si="17">20*LOG10((K13/(I13*M13))*AEA)</f>
        <v>75.494191380034437</v>
      </c>
      <c r="Y13" s="372">
        <f t="shared" ref="Y13:Y76" si="18">(L13-(J13+N13))*radconv</f>
        <v>-76.375101905033148</v>
      </c>
      <c r="AA13" s="371">
        <f t="shared" ref="AA13:AA76" si="19">20*LOG10((E13*G13/(C13*O13))*Acs*Am)</f>
        <v>59.391588434208501</v>
      </c>
      <c r="AB13" s="372">
        <f t="shared" ref="AB13:AB76" si="20">(F13+H13-(D13+P13))*radconv</f>
        <v>-8.3261017986504732E-2</v>
      </c>
      <c r="AD13">
        <f>SUM((Q14&lt;0)*(Q13&gt;0))*A13</f>
        <v>0</v>
      </c>
      <c r="AE13">
        <f t="shared" ref="AE13:AE44" si="21">IF(AD13&gt;0,S11,0)</f>
        <v>0</v>
      </c>
    </row>
    <row r="14" spans="1:31" x14ac:dyDescent="0.2">
      <c r="A14" s="373">
        <v>1.0965</v>
      </c>
      <c r="B14" s="390">
        <f t="shared" ref="B14:B77" si="22">A14/1000</f>
        <v>1.0965E-3</v>
      </c>
      <c r="C14" s="363">
        <f t="shared" si="0"/>
        <v>1.0000011972436555</v>
      </c>
      <c r="D14" s="364">
        <f t="shared" si="1"/>
        <v>1.5474123309343266E-3</v>
      </c>
      <c r="E14" s="364">
        <f t="shared" si="2"/>
        <v>1.0000000000341751</v>
      </c>
      <c r="F14" s="365">
        <f t="shared" si="3"/>
        <v>8.2674152175516398E-6</v>
      </c>
      <c r="G14" s="364">
        <f t="shared" si="4"/>
        <v>1.0000000005321694</v>
      </c>
      <c r="H14" s="365">
        <f t="shared" si="5"/>
        <v>-3.2624206872817723E-5</v>
      </c>
      <c r="I14" s="363">
        <f t="shared" si="6"/>
        <v>4.6571152097405148</v>
      </c>
      <c r="J14" s="366">
        <f t="shared" si="7"/>
        <v>1.3543858674536</v>
      </c>
      <c r="K14" s="374">
        <f t="shared" si="8"/>
        <v>1.0000009902753639</v>
      </c>
      <c r="L14" s="375">
        <f t="shared" si="9"/>
        <v>1.407319826350387E-3</v>
      </c>
      <c r="M14" s="363">
        <f t="shared" si="10"/>
        <v>1.0000000009558754</v>
      </c>
      <c r="N14" s="366">
        <f t="shared" si="11"/>
        <v>4.3723572901562658E-5</v>
      </c>
      <c r="O14" s="367">
        <f t="shared" si="12"/>
        <v>1.0000000001572258</v>
      </c>
      <c r="P14" s="368">
        <f t="shared" si="13"/>
        <v>2.164133427149604E-5</v>
      </c>
      <c r="Q14" s="369">
        <f t="shared" si="14"/>
        <v>76.624704706009709</v>
      </c>
      <c r="R14" s="370">
        <f t="shared" si="15"/>
        <v>-77.613761509870542</v>
      </c>
      <c r="S14" s="392">
        <f t="shared" si="16"/>
        <v>102.38623849012946</v>
      </c>
      <c r="U14" s="345">
        <f t="shared" ref="U14:U77" si="23">IF(Q14&lt;0,A14,1000000000)</f>
        <v>1000000000</v>
      </c>
      <c r="V14" s="345">
        <f t="shared" ref="V14:V77" si="24">A14^2</f>
        <v>1.2023122500000001</v>
      </c>
      <c r="X14" s="371">
        <f t="shared" si="17"/>
        <v>74.734343288888255</v>
      </c>
      <c r="Y14" s="372">
        <f t="shared" si="18"/>
        <v>-77.52246581555606</v>
      </c>
      <c r="AA14" s="371">
        <f t="shared" si="19"/>
        <v>59.39158668495547</v>
      </c>
      <c r="AB14" s="372">
        <f t="shared" si="20"/>
        <v>-9.1295694314473236E-2</v>
      </c>
      <c r="AD14">
        <f t="shared" ref="AD14:AD77" si="25">SUM((Q15&lt;0)*(Q14&gt;0))*A14</f>
        <v>0</v>
      </c>
      <c r="AE14">
        <f t="shared" si="21"/>
        <v>0</v>
      </c>
    </row>
    <row r="15" spans="1:31" x14ac:dyDescent="0.2">
      <c r="A15" s="373">
        <v>1.2022999999999999</v>
      </c>
      <c r="B15" s="390">
        <f t="shared" si="22"/>
        <v>1.2022999999999999E-3</v>
      </c>
      <c r="C15" s="363">
        <f t="shared" si="0"/>
        <v>1.0000014394312065</v>
      </c>
      <c r="D15" s="364">
        <f t="shared" si="1"/>
        <v>1.6967200593678204E-3</v>
      </c>
      <c r="E15" s="364">
        <f t="shared" si="2"/>
        <v>1.0000000000410882</v>
      </c>
      <c r="F15" s="365">
        <f t="shared" si="3"/>
        <v>9.0651284231796855E-6</v>
      </c>
      <c r="G15" s="364">
        <f t="shared" si="4"/>
        <v>1.0000000006398206</v>
      </c>
      <c r="H15" s="365">
        <f t="shared" si="5"/>
        <v>-3.577207835875397E-5</v>
      </c>
      <c r="I15" s="363">
        <f t="shared" si="6"/>
        <v>5.0866292491854663</v>
      </c>
      <c r="J15" s="366">
        <f t="shared" si="7"/>
        <v>1.3729135732469582</v>
      </c>
      <c r="K15" s="374">
        <f t="shared" si="8"/>
        <v>1.0000011905958202</v>
      </c>
      <c r="L15" s="375">
        <f t="shared" si="9"/>
        <v>1.5431102610643287E-3</v>
      </c>
      <c r="M15" s="363">
        <f t="shared" si="10"/>
        <v>1.0000000011492371</v>
      </c>
      <c r="N15" s="366">
        <f t="shared" si="11"/>
        <v>4.794240920453464E-5</v>
      </c>
      <c r="O15" s="367">
        <f t="shared" si="12"/>
        <v>1.0000000001890306</v>
      </c>
      <c r="P15" s="368">
        <f t="shared" si="13"/>
        <v>2.3729481253263111E-5</v>
      </c>
      <c r="Q15" s="369">
        <f t="shared" si="14"/>
        <v>75.858442293612029</v>
      </c>
      <c r="R15" s="370">
        <f t="shared" si="15"/>
        <v>-78.676591358659394</v>
      </c>
      <c r="S15" s="392">
        <f t="shared" si="16"/>
        <v>101.32340864134061</v>
      </c>
      <c r="U15" s="345">
        <f t="shared" si="23"/>
        <v>1000000000</v>
      </c>
      <c r="V15" s="345">
        <f t="shared" si="24"/>
        <v>1.4455252899999997</v>
      </c>
      <c r="X15" s="371">
        <f t="shared" si="17"/>
        <v>73.968082979383297</v>
      </c>
      <c r="Y15" s="372">
        <f t="shared" si="18"/>
        <v>-78.576486665487224</v>
      </c>
      <c r="AA15" s="371">
        <f t="shared" si="19"/>
        <v>59.391584582062748</v>
      </c>
      <c r="AB15" s="372">
        <f t="shared" si="20"/>
        <v>-0.10010469317217124</v>
      </c>
      <c r="AD15">
        <f t="shared" si="25"/>
        <v>0</v>
      </c>
      <c r="AE15">
        <f t="shared" si="21"/>
        <v>0</v>
      </c>
    </row>
    <row r="16" spans="1:31" x14ac:dyDescent="0.2">
      <c r="A16" s="373">
        <v>1.3183</v>
      </c>
      <c r="B16" s="390">
        <f t="shared" si="22"/>
        <v>1.3183000000000001E-3</v>
      </c>
      <c r="C16" s="363">
        <f t="shared" si="0"/>
        <v>1.000001730587891</v>
      </c>
      <c r="D16" s="364">
        <f t="shared" si="1"/>
        <v>1.8604222075147667E-3</v>
      </c>
      <c r="E16" s="364">
        <f t="shared" si="2"/>
        <v>1.0000000000493992</v>
      </c>
      <c r="F16" s="365">
        <f t="shared" si="3"/>
        <v>9.9397478168606555E-6</v>
      </c>
      <c r="G16" s="364">
        <f t="shared" si="4"/>
        <v>1.0000000007692387</v>
      </c>
      <c r="H16" s="365">
        <f t="shared" si="5"/>
        <v>-3.9223430837791408E-5</v>
      </c>
      <c r="I16" s="363">
        <f t="shared" si="6"/>
        <v>5.5592333211209031</v>
      </c>
      <c r="J16" s="366">
        <f t="shared" si="7"/>
        <v>1.3899309322694362</v>
      </c>
      <c r="K16" s="374">
        <f t="shared" si="8"/>
        <v>1.0000014314200998</v>
      </c>
      <c r="L16" s="375">
        <f t="shared" si="9"/>
        <v>1.691991957546707E-3</v>
      </c>
      <c r="M16" s="363">
        <f t="shared" si="10"/>
        <v>1.0000000013816961</v>
      </c>
      <c r="N16" s="366">
        <f t="shared" si="11"/>
        <v>5.2567976415656133E-5</v>
      </c>
      <c r="O16" s="367">
        <f t="shared" si="12"/>
        <v>1.0000000002272662</v>
      </c>
      <c r="P16" s="368">
        <f t="shared" si="13"/>
        <v>2.601894297228186E-5</v>
      </c>
      <c r="Q16" s="369">
        <f t="shared" si="14"/>
        <v>75.086745504324412</v>
      </c>
      <c r="R16" s="370">
        <f t="shared" si="15"/>
        <v>-79.653007197456461</v>
      </c>
      <c r="S16" s="392">
        <f t="shared" si="16"/>
        <v>100.34699280254354</v>
      </c>
      <c r="U16" s="345">
        <f t="shared" si="23"/>
        <v>1000000000</v>
      </c>
      <c r="V16" s="345">
        <f t="shared" si="24"/>
        <v>1.7379148900000001</v>
      </c>
      <c r="X16" s="371">
        <f t="shared" si="17"/>
        <v>73.196388718182305</v>
      </c>
      <c r="Y16" s="372">
        <f t="shared" si="18"/>
        <v>-79.543244249662635</v>
      </c>
      <c r="AA16" s="371">
        <f t="shared" si="19"/>
        <v>59.391582053976109</v>
      </c>
      <c r="AB16" s="372">
        <f t="shared" si="20"/>
        <v>-0.10976294779383197</v>
      </c>
      <c r="AD16">
        <f t="shared" si="25"/>
        <v>0</v>
      </c>
      <c r="AE16">
        <f t="shared" si="21"/>
        <v>0</v>
      </c>
    </row>
    <row r="17" spans="1:31" x14ac:dyDescent="0.2">
      <c r="A17" s="373">
        <v>1.4454</v>
      </c>
      <c r="B17" s="390">
        <f t="shared" si="22"/>
        <v>1.4454000000000001E-3</v>
      </c>
      <c r="C17" s="363">
        <f t="shared" si="0"/>
        <v>1.0000020803728686</v>
      </c>
      <c r="D17" s="364">
        <f t="shared" si="1"/>
        <v>2.0397888429661459E-3</v>
      </c>
      <c r="E17" s="364">
        <f t="shared" si="2"/>
        <v>1.0000000000593838</v>
      </c>
      <c r="F17" s="365">
        <f t="shared" si="3"/>
        <v>1.0898059238712554E-5</v>
      </c>
      <c r="G17" s="364">
        <f t="shared" si="4"/>
        <v>1.0000000009247167</v>
      </c>
      <c r="H17" s="365">
        <f t="shared" si="5"/>
        <v>-4.3005042044350524E-5</v>
      </c>
      <c r="I17" s="363">
        <f t="shared" si="6"/>
        <v>6.0786075862321169</v>
      </c>
      <c r="J17" s="366">
        <f t="shared" si="7"/>
        <v>1.4055337257154046</v>
      </c>
      <c r="K17" s="374">
        <f t="shared" si="8"/>
        <v>1.0000017207375855</v>
      </c>
      <c r="L17" s="375">
        <f t="shared" si="9"/>
        <v>1.85512000586693E-3</v>
      </c>
      <c r="M17" s="363">
        <f t="shared" si="10"/>
        <v>1.0000000016609636</v>
      </c>
      <c r="N17" s="366">
        <f t="shared" si="11"/>
        <v>5.7636162555596772E-5</v>
      </c>
      <c r="O17" s="367">
        <f t="shared" si="12"/>
        <v>1.000000000273201</v>
      </c>
      <c r="P17" s="368">
        <f t="shared" si="13"/>
        <v>2.8527482493564701E-5</v>
      </c>
      <c r="Q17" s="369">
        <f t="shared" si="14"/>
        <v>74.310960858131182</v>
      </c>
      <c r="R17" s="370">
        <f t="shared" si="15"/>
        <v>-80.548507691620856</v>
      </c>
      <c r="S17" s="392">
        <f t="shared" si="16"/>
        <v>99.451492308379144</v>
      </c>
      <c r="U17" s="345">
        <f t="shared" si="23"/>
        <v>1000000000</v>
      </c>
      <c r="V17" s="345">
        <f t="shared" si="24"/>
        <v>2.0891811599999999</v>
      </c>
      <c r="X17" s="371">
        <f t="shared" si="17"/>
        <v>72.420607109138786</v>
      </c>
      <c r="Y17" s="372">
        <f t="shared" si="18"/>
        <v>-80.428162300728815</v>
      </c>
      <c r="AA17" s="371">
        <f t="shared" si="19"/>
        <v>59.391579016826398</v>
      </c>
      <c r="AB17" s="372">
        <f t="shared" si="20"/>
        <v>-0.12034539089202501</v>
      </c>
      <c r="AD17">
        <f t="shared" si="25"/>
        <v>0</v>
      </c>
      <c r="AE17">
        <f t="shared" si="21"/>
        <v>0</v>
      </c>
    </row>
    <row r="18" spans="1:31" x14ac:dyDescent="0.2">
      <c r="A18" s="373">
        <v>1.5849</v>
      </c>
      <c r="B18" s="390">
        <f t="shared" si="22"/>
        <v>1.5849E-3</v>
      </c>
      <c r="C18" s="363">
        <f t="shared" si="0"/>
        <v>1.0000025013169143</v>
      </c>
      <c r="D18" s="364">
        <f t="shared" si="1"/>
        <v>2.2366545108501975E-3</v>
      </c>
      <c r="E18" s="364">
        <f t="shared" si="2"/>
        <v>1.0000000000713998</v>
      </c>
      <c r="F18" s="365">
        <f t="shared" si="3"/>
        <v>1.1949864457795188E-5</v>
      </c>
      <c r="G18" s="364">
        <f t="shared" si="4"/>
        <v>1.0000000011118249</v>
      </c>
      <c r="H18" s="365">
        <f t="shared" si="5"/>
        <v>-4.7155590928178445E-5</v>
      </c>
      <c r="I18" s="363">
        <f t="shared" si="6"/>
        <v>6.6500766360838828</v>
      </c>
      <c r="J18" s="366">
        <f t="shared" si="7"/>
        <v>1.4198495540105478</v>
      </c>
      <c r="K18" s="374">
        <f t="shared" si="8"/>
        <v>1.0000020689128615</v>
      </c>
      <c r="L18" s="375">
        <f t="shared" si="9"/>
        <v>2.0341628717547204E-3</v>
      </c>
      <c r="M18" s="363">
        <f t="shared" si="10"/>
        <v>1.0000000019970445</v>
      </c>
      <c r="N18" s="366">
        <f t="shared" si="11"/>
        <v>6.3198805876503767E-5</v>
      </c>
      <c r="O18" s="367">
        <f t="shared" si="12"/>
        <v>1.0000000003284808</v>
      </c>
      <c r="P18" s="368">
        <f t="shared" si="13"/>
        <v>3.1280757577689348E-5</v>
      </c>
      <c r="Q18" s="369">
        <f t="shared" si="14"/>
        <v>73.530509375743833</v>
      </c>
      <c r="R18" s="370">
        <f t="shared" si="15"/>
        <v>-81.370419417400342</v>
      </c>
      <c r="S18" s="392">
        <f t="shared" si="16"/>
        <v>98.629580582599658</v>
      </c>
      <c r="U18" s="345">
        <f t="shared" si="23"/>
        <v>1000000000</v>
      </c>
      <c r="V18" s="345">
        <f t="shared" si="24"/>
        <v>2.51190801</v>
      </c>
      <c r="X18" s="371">
        <f t="shared" si="17"/>
        <v>71.640159281767168</v>
      </c>
      <c r="Y18" s="372">
        <f t="shared" si="18"/>
        <v>-81.238459158618326</v>
      </c>
      <c r="AA18" s="371">
        <f t="shared" si="19"/>
        <v>59.391575361810666</v>
      </c>
      <c r="AB18" s="372">
        <f t="shared" si="20"/>
        <v>-0.13196025878201892</v>
      </c>
      <c r="AD18">
        <f t="shared" si="25"/>
        <v>0</v>
      </c>
      <c r="AE18">
        <f t="shared" si="21"/>
        <v>0</v>
      </c>
    </row>
    <row r="19" spans="1:31" x14ac:dyDescent="0.2">
      <c r="A19" s="373">
        <v>1.7378</v>
      </c>
      <c r="B19" s="390">
        <f t="shared" si="22"/>
        <v>1.7378000000000001E-3</v>
      </c>
      <c r="C19" s="363">
        <f t="shared" si="0"/>
        <v>1.0000030072149031</v>
      </c>
      <c r="D19" s="364">
        <f t="shared" si="1"/>
        <v>2.4524303729294224E-3</v>
      </c>
      <c r="E19" s="364">
        <f t="shared" si="2"/>
        <v>1.0000000000858404</v>
      </c>
      <c r="F19" s="365">
        <f t="shared" si="3"/>
        <v>1.3102703296458173E-5</v>
      </c>
      <c r="G19" s="364">
        <f t="shared" si="4"/>
        <v>1.0000000013366948</v>
      </c>
      <c r="H19" s="365">
        <f t="shared" si="5"/>
        <v>-5.1704830527291029E-5</v>
      </c>
      <c r="I19" s="363">
        <f t="shared" si="6"/>
        <v>7.2777471771326265</v>
      </c>
      <c r="J19" s="366">
        <f t="shared" si="7"/>
        <v>1.432955081315235</v>
      </c>
      <c r="K19" s="374">
        <f t="shared" si="8"/>
        <v>1.0000024873560909</v>
      </c>
      <c r="L19" s="375">
        <f t="shared" si="9"/>
        <v>2.230403970228272E-3</v>
      </c>
      <c r="M19" s="363">
        <f t="shared" si="10"/>
        <v>1.0000000024009525</v>
      </c>
      <c r="N19" s="366">
        <f t="shared" si="11"/>
        <v>6.9295781956347363E-5</v>
      </c>
      <c r="O19" s="367">
        <f t="shared" si="12"/>
        <v>1.000000000394917</v>
      </c>
      <c r="P19" s="368">
        <f t="shared" si="13"/>
        <v>3.4298504963524556E-5</v>
      </c>
      <c r="Q19" s="369">
        <f t="shared" si="14"/>
        <v>72.747102328050985</v>
      </c>
      <c r="R19" s="370">
        <f t="shared" si="15"/>
        <v>-82.123146915236006</v>
      </c>
      <c r="S19" s="392">
        <f t="shared" si="16"/>
        <v>97.876853084763994</v>
      </c>
      <c r="U19" s="345">
        <f t="shared" si="23"/>
        <v>1000000000</v>
      </c>
      <c r="V19" s="345">
        <f t="shared" si="24"/>
        <v>3.0199488400000001</v>
      </c>
      <c r="X19" s="371">
        <f t="shared" si="17"/>
        <v>70.85675662673475</v>
      </c>
      <c r="Y19" s="372">
        <f t="shared" si="18"/>
        <v>-81.978456106603545</v>
      </c>
      <c r="AA19" s="371">
        <f t="shared" si="19"/>
        <v>59.391570969150237</v>
      </c>
      <c r="AB19" s="372">
        <f t="shared" si="20"/>
        <v>-0.14469080863245601</v>
      </c>
      <c r="AD19">
        <f t="shared" si="25"/>
        <v>0</v>
      </c>
      <c r="AE19">
        <f t="shared" si="21"/>
        <v>0</v>
      </c>
    </row>
    <row r="20" spans="1:31" x14ac:dyDescent="0.2">
      <c r="A20" s="373">
        <v>1.9055</v>
      </c>
      <c r="B20" s="390">
        <f t="shared" si="22"/>
        <v>1.9055000000000001E-3</v>
      </c>
      <c r="C20" s="363">
        <f t="shared" si="0"/>
        <v>1.0000036156189449</v>
      </c>
      <c r="D20" s="364">
        <f t="shared" si="1"/>
        <v>2.6890920590387766E-3</v>
      </c>
      <c r="E20" s="364">
        <f t="shared" si="2"/>
        <v>1.0000000001032072</v>
      </c>
      <c r="F20" s="365">
        <f t="shared" si="3"/>
        <v>1.4367131505991472E-5</v>
      </c>
      <c r="G20" s="364">
        <f t="shared" si="4"/>
        <v>1.0000000016071282</v>
      </c>
      <c r="H20" s="365">
        <f t="shared" si="5"/>
        <v>-5.6694415094942071E-5</v>
      </c>
      <c r="I20" s="363">
        <f t="shared" si="6"/>
        <v>7.9673730341456714</v>
      </c>
      <c r="J20" s="366">
        <f t="shared" si="7"/>
        <v>1.4449525482638781</v>
      </c>
      <c r="K20" s="374">
        <f t="shared" si="8"/>
        <v>1.0000029905851653</v>
      </c>
      <c r="L20" s="375">
        <f t="shared" si="9"/>
        <v>2.445640084846185E-3</v>
      </c>
      <c r="M20" s="363">
        <f t="shared" si="10"/>
        <v>1.0000000028867018</v>
      </c>
      <c r="N20" s="366">
        <f t="shared" si="11"/>
        <v>7.5982916604361834E-5</v>
      </c>
      <c r="O20" s="367">
        <f t="shared" si="12"/>
        <v>1.0000000004748146</v>
      </c>
      <c r="P20" s="368">
        <f t="shared" si="13"/>
        <v>3.7608356085491276E-5</v>
      </c>
      <c r="Q20" s="369">
        <f t="shared" si="14"/>
        <v>71.960737673706276</v>
      </c>
      <c r="R20" s="370">
        <f t="shared" si="15"/>
        <v>-82.812564952678656</v>
      </c>
      <c r="S20" s="392">
        <f t="shared" si="16"/>
        <v>97.187435047321344</v>
      </c>
      <c r="U20" s="345">
        <f t="shared" si="23"/>
        <v>1000000000</v>
      </c>
      <c r="V20" s="345">
        <f t="shared" si="24"/>
        <v>3.63093025</v>
      </c>
      <c r="X20" s="371">
        <f t="shared" si="17"/>
        <v>70.070397255097092</v>
      </c>
      <c r="Y20" s="372">
        <f t="shared" si="18"/>
        <v>-82.653911352006276</v>
      </c>
      <c r="AA20" s="371">
        <f t="shared" si="19"/>
        <v>59.391565686443187</v>
      </c>
      <c r="AB20" s="372">
        <f t="shared" si="20"/>
        <v>-0.15865360067237846</v>
      </c>
      <c r="AD20">
        <f t="shared" si="25"/>
        <v>0</v>
      </c>
      <c r="AE20">
        <f t="shared" si="21"/>
        <v>0</v>
      </c>
    </row>
    <row r="21" spans="1:31" x14ac:dyDescent="0.2">
      <c r="A21" s="373">
        <v>2.0893000000000002</v>
      </c>
      <c r="B21" s="390">
        <f t="shared" si="22"/>
        <v>2.0893000000000001E-3</v>
      </c>
      <c r="C21" s="363">
        <f t="shared" si="0"/>
        <v>1.0000043467653541</v>
      </c>
      <c r="D21" s="364">
        <f t="shared" si="1"/>
        <v>2.9484740490240695E-3</v>
      </c>
      <c r="E21" s="364">
        <f t="shared" si="2"/>
        <v>1.0000000001240776</v>
      </c>
      <c r="F21" s="365">
        <f t="shared" si="3"/>
        <v>1.575295085544494E-5</v>
      </c>
      <c r="G21" s="364">
        <f t="shared" si="4"/>
        <v>1.0000000019321207</v>
      </c>
      <c r="H21" s="365">
        <f t="shared" si="5"/>
        <v>-6.2163023580266897E-5</v>
      </c>
      <c r="I21" s="363">
        <f t="shared" si="6"/>
        <v>8.7243051609047289</v>
      </c>
      <c r="J21" s="366">
        <f t="shared" si="7"/>
        <v>1.4559215325253914</v>
      </c>
      <c r="K21" s="374">
        <f t="shared" si="8"/>
        <v>1.0000035953381716</v>
      </c>
      <c r="L21" s="375">
        <f t="shared" si="9"/>
        <v>2.6815396322295002E-3</v>
      </c>
      <c r="M21" s="363">
        <f t="shared" si="10"/>
        <v>1.0000000034704486</v>
      </c>
      <c r="N21" s="366">
        <f t="shared" si="11"/>
        <v>8.3312048071221663E-5</v>
      </c>
      <c r="O21" s="367">
        <f t="shared" si="12"/>
        <v>1.0000000005708314</v>
      </c>
      <c r="P21" s="368">
        <f t="shared" si="13"/>
        <v>4.1235968704076631E-5</v>
      </c>
      <c r="Q21" s="369">
        <f t="shared" si="14"/>
        <v>71.172422640412918</v>
      </c>
      <c r="R21" s="370">
        <f t="shared" si="15"/>
        <v>-83.44324860376264</v>
      </c>
      <c r="S21" s="392">
        <f t="shared" si="16"/>
        <v>96.55675139623736</v>
      </c>
      <c r="U21" s="345">
        <f t="shared" si="23"/>
        <v>1000000000</v>
      </c>
      <c r="V21" s="345">
        <f t="shared" si="24"/>
        <v>4.3651744900000002</v>
      </c>
      <c r="X21" s="371">
        <f t="shared" si="17"/>
        <v>69.282088570265316</v>
      </c>
      <c r="Y21" s="372">
        <f t="shared" si="18"/>
        <v>-83.269291736286021</v>
      </c>
      <c r="AA21" s="371">
        <f t="shared" si="19"/>
        <v>59.39155933798159</v>
      </c>
      <c r="AB21" s="372">
        <f t="shared" si="20"/>
        <v>-0.17395686747660752</v>
      </c>
      <c r="AD21">
        <f t="shared" si="25"/>
        <v>0</v>
      </c>
      <c r="AE21">
        <f t="shared" si="21"/>
        <v>0</v>
      </c>
    </row>
    <row r="22" spans="1:31" x14ac:dyDescent="0.2">
      <c r="A22" s="373">
        <v>2.2909000000000002</v>
      </c>
      <c r="B22" s="390">
        <f t="shared" si="22"/>
        <v>2.2909000000000002E-3</v>
      </c>
      <c r="C22" s="363">
        <f t="shared" si="0"/>
        <v>1.0000052260873198</v>
      </c>
      <c r="D22" s="364">
        <f t="shared" si="1"/>
        <v>3.2329752736534548E-3</v>
      </c>
      <c r="E22" s="364">
        <f t="shared" si="2"/>
        <v>1.000000000149178</v>
      </c>
      <c r="F22" s="365">
        <f t="shared" si="3"/>
        <v>1.727297904280617E-5</v>
      </c>
      <c r="G22" s="364">
        <f t="shared" si="4"/>
        <v>1.0000000023229769</v>
      </c>
      <c r="H22" s="365">
        <f t="shared" si="5"/>
        <v>-6.8161236147477969E-5</v>
      </c>
      <c r="I22" s="363">
        <f t="shared" si="6"/>
        <v>9.5555484436207774</v>
      </c>
      <c r="J22" s="366">
        <f t="shared" si="7"/>
        <v>1.4659531171696081</v>
      </c>
      <c r="K22" s="374">
        <f t="shared" si="8"/>
        <v>1.0000043226517024</v>
      </c>
      <c r="L22" s="375">
        <f t="shared" si="9"/>
        <v>2.9402843846384526E-3</v>
      </c>
      <c r="M22" s="363">
        <f t="shared" si="10"/>
        <v>1.0000000041724995</v>
      </c>
      <c r="N22" s="366">
        <f t="shared" si="11"/>
        <v>9.1350964838478438E-5</v>
      </c>
      <c r="O22" s="367">
        <f t="shared" si="12"/>
        <v>1.000000000686307</v>
      </c>
      <c r="P22" s="368">
        <f t="shared" si="13"/>
        <v>4.521489527529617E-5</v>
      </c>
      <c r="Q22" s="369">
        <f t="shared" si="14"/>
        <v>70.381925905836042</v>
      </c>
      <c r="R22" s="370">
        <f t="shared" si="15"/>
        <v>-84.020436956284399</v>
      </c>
      <c r="S22" s="392">
        <f t="shared" si="16"/>
        <v>95.979563043715601</v>
      </c>
      <c r="U22" s="345">
        <f t="shared" si="23"/>
        <v>1000000000</v>
      </c>
      <c r="V22" s="345">
        <f t="shared" si="24"/>
        <v>5.2482228100000006</v>
      </c>
      <c r="X22" s="371">
        <f t="shared" si="17"/>
        <v>68.491599470735494</v>
      </c>
      <c r="Y22" s="372">
        <f t="shared" si="18"/>
        <v>-83.829694812586681</v>
      </c>
      <c r="AA22" s="371">
        <f t="shared" si="19"/>
        <v>59.391551702934542</v>
      </c>
      <c r="AB22" s="372">
        <f t="shared" si="20"/>
        <v>-0.1907421436977248</v>
      </c>
      <c r="AD22">
        <f t="shared" si="25"/>
        <v>0</v>
      </c>
      <c r="AE22">
        <f t="shared" si="21"/>
        <v>0</v>
      </c>
    </row>
    <row r="23" spans="1:31" x14ac:dyDescent="0.2">
      <c r="A23" s="373">
        <v>2.5118999999999998</v>
      </c>
      <c r="B23" s="390">
        <f t="shared" si="22"/>
        <v>2.5118999999999996E-3</v>
      </c>
      <c r="C23" s="363">
        <f t="shared" si="0"/>
        <v>1.0000062830260412</v>
      </c>
      <c r="D23" s="364">
        <f t="shared" si="1"/>
        <v>3.544853493261617E-3</v>
      </c>
      <c r="E23" s="364">
        <f t="shared" si="2"/>
        <v>1.0000000001793481</v>
      </c>
      <c r="F23" s="365">
        <f t="shared" si="3"/>
        <v>1.8939279783819515E-5</v>
      </c>
      <c r="G23" s="364">
        <f t="shared" si="4"/>
        <v>1.000000002792784</v>
      </c>
      <c r="H23" s="365">
        <f t="shared" si="5"/>
        <v>-7.4736657656477722E-5</v>
      </c>
      <c r="I23" s="363">
        <f t="shared" si="6"/>
        <v>10.467703273614964</v>
      </c>
      <c r="J23" s="366">
        <f t="shared" si="7"/>
        <v>1.4751184771912158</v>
      </c>
      <c r="K23" s="374">
        <f t="shared" si="8"/>
        <v>1.0000051968775168</v>
      </c>
      <c r="L23" s="375">
        <f t="shared" si="9"/>
        <v>3.2239277320163864E-3</v>
      </c>
      <c r="M23" s="363">
        <f t="shared" si="10"/>
        <v>1.0000000050163602</v>
      </c>
      <c r="N23" s="366">
        <f t="shared" si="11"/>
        <v>1.0016346782866263E-4</v>
      </c>
      <c r="O23" s="367">
        <f t="shared" si="12"/>
        <v>1.0000000008251082</v>
      </c>
      <c r="P23" s="368">
        <f t="shared" si="13"/>
        <v>4.9576714581203292E-5</v>
      </c>
      <c r="Q23" s="369">
        <f t="shared" si="14"/>
        <v>69.590008620791565</v>
      </c>
      <c r="R23" s="370">
        <f t="shared" si="15"/>
        <v>-84.548227247824059</v>
      </c>
      <c r="S23" s="392">
        <f t="shared" si="16"/>
        <v>95.451772752175941</v>
      </c>
      <c r="U23" s="345">
        <f t="shared" si="23"/>
        <v>1000000000</v>
      </c>
      <c r="V23" s="345">
        <f t="shared" si="24"/>
        <v>6.309641609999999</v>
      </c>
      <c r="X23" s="371">
        <f t="shared" si="17"/>
        <v>67.699691362954141</v>
      </c>
      <c r="Y23" s="372">
        <f t="shared" si="18"/>
        <v>-84.339084612661367</v>
      </c>
      <c r="AA23" s="371">
        <f t="shared" si="19"/>
        <v>59.391542525671419</v>
      </c>
      <c r="AB23" s="372">
        <f t="shared" si="20"/>
        <v>-0.20914263516270515</v>
      </c>
      <c r="AD23">
        <f t="shared" si="25"/>
        <v>0</v>
      </c>
      <c r="AE23">
        <f t="shared" si="21"/>
        <v>0</v>
      </c>
    </row>
    <row r="24" spans="1:31" x14ac:dyDescent="0.2">
      <c r="A24" s="373">
        <v>2.7542</v>
      </c>
      <c r="B24" s="390">
        <f t="shared" si="22"/>
        <v>2.7542000000000001E-3</v>
      </c>
      <c r="C24" s="363">
        <f t="shared" si="0"/>
        <v>1.000007553614902</v>
      </c>
      <c r="D24" s="364">
        <f t="shared" si="1"/>
        <v>3.8867897691579147E-3</v>
      </c>
      <c r="E24" s="364">
        <f t="shared" si="2"/>
        <v>1.0000000002156171</v>
      </c>
      <c r="F24" s="365">
        <f t="shared" si="3"/>
        <v>2.0766178740926971E-5</v>
      </c>
      <c r="G24" s="364">
        <f t="shared" si="4"/>
        <v>1.0000000033575587</v>
      </c>
      <c r="H24" s="365">
        <f t="shared" si="5"/>
        <v>-8.1945818878127676E-5</v>
      </c>
      <c r="I24" s="363">
        <f t="shared" si="6"/>
        <v>11.468613663125081</v>
      </c>
      <c r="J24" s="366">
        <f t="shared" si="7"/>
        <v>1.4834909618104761</v>
      </c>
      <c r="K24" s="374">
        <f t="shared" si="8"/>
        <v>1.0000062478200009</v>
      </c>
      <c r="L24" s="375">
        <f t="shared" si="9"/>
        <v>3.5349080530393305E-3</v>
      </c>
      <c r="M24" s="363">
        <f t="shared" si="10"/>
        <v>1.0000000060308005</v>
      </c>
      <c r="N24" s="366">
        <f t="shared" si="11"/>
        <v>1.0982532063662302E-4</v>
      </c>
      <c r="O24" s="367">
        <f t="shared" si="12"/>
        <v>1.0000000009919667</v>
      </c>
      <c r="P24" s="368">
        <f t="shared" si="13"/>
        <v>5.4358926425446038E-5</v>
      </c>
      <c r="Q24" s="369">
        <f t="shared" si="14"/>
        <v>68.796816310292428</v>
      </c>
      <c r="R24" s="370">
        <f t="shared" si="15"/>
        <v>-85.030844891517972</v>
      </c>
      <c r="S24" s="392">
        <f t="shared" si="16"/>
        <v>94.969155108482028</v>
      </c>
      <c r="U24" s="345">
        <f t="shared" si="23"/>
        <v>1000000000</v>
      </c>
      <c r="V24" s="345">
        <f t="shared" si="24"/>
        <v>7.5856176399999997</v>
      </c>
      <c r="X24" s="371">
        <f t="shared" si="17"/>
        <v>66.906510084801994</v>
      </c>
      <c r="Y24" s="372">
        <f t="shared" si="18"/>
        <v>-84.801528369393523</v>
      </c>
      <c r="AA24" s="371">
        <f t="shared" si="19"/>
        <v>59.391531493324436</v>
      </c>
      <c r="AB24" s="372">
        <f t="shared" si="20"/>
        <v>-0.22931652212443934</v>
      </c>
      <c r="AD24">
        <f t="shared" si="25"/>
        <v>0</v>
      </c>
      <c r="AE24">
        <f t="shared" si="21"/>
        <v>0</v>
      </c>
    </row>
    <row r="25" spans="1:31" x14ac:dyDescent="0.2">
      <c r="A25" s="373">
        <v>3.02</v>
      </c>
      <c r="B25" s="390">
        <f t="shared" si="22"/>
        <v>3.0200000000000001E-3</v>
      </c>
      <c r="C25" s="363">
        <f t="shared" si="0"/>
        <v>1.0000090819152743</v>
      </c>
      <c r="D25" s="364">
        <f t="shared" si="1"/>
        <v>4.2618884406974847E-3</v>
      </c>
      <c r="E25" s="364">
        <f t="shared" si="2"/>
        <v>1.0000000002592424</v>
      </c>
      <c r="F25" s="365">
        <f t="shared" si="3"/>
        <v>2.2770263523264656E-5</v>
      </c>
      <c r="G25" s="364">
        <f t="shared" si="4"/>
        <v>1.0000000040368864</v>
      </c>
      <c r="H25" s="365">
        <f t="shared" si="5"/>
        <v>-8.9854176494033551E-5</v>
      </c>
      <c r="I25" s="363">
        <f t="shared" si="6"/>
        <v>12.567369756938328</v>
      </c>
      <c r="J25" s="366">
        <f t="shared" si="7"/>
        <v>1.4911409734010765</v>
      </c>
      <c r="K25" s="374">
        <f t="shared" si="8"/>
        <v>1.0000075119237779</v>
      </c>
      <c r="L25" s="375">
        <f t="shared" si="9"/>
        <v>3.8760486978675628E-3</v>
      </c>
      <c r="M25" s="363">
        <f t="shared" si="10"/>
        <v>1.000000007251</v>
      </c>
      <c r="N25" s="366">
        <f t="shared" si="11"/>
        <v>1.2042424952900922E-4</v>
      </c>
      <c r="O25" s="367">
        <f t="shared" si="12"/>
        <v>1.0000000011926695</v>
      </c>
      <c r="P25" s="368">
        <f t="shared" si="13"/>
        <v>5.9604951633235308E-5</v>
      </c>
      <c r="Q25" s="369">
        <f t="shared" si="14"/>
        <v>68.002144610928127</v>
      </c>
      <c r="R25" s="370">
        <f t="shared" si="15"/>
        <v>-85.472350059912145</v>
      </c>
      <c r="S25" s="392">
        <f t="shared" si="16"/>
        <v>94.527649940087855</v>
      </c>
      <c r="U25" s="345">
        <f t="shared" si="23"/>
        <v>1000000000</v>
      </c>
      <c r="V25" s="345">
        <f t="shared" si="24"/>
        <v>9.1204000000000001</v>
      </c>
      <c r="X25" s="371">
        <f t="shared" si="17"/>
        <v>66.111851655439452</v>
      </c>
      <c r="Y25" s="372">
        <f t="shared" si="18"/>
        <v>-85.220903101964154</v>
      </c>
      <c r="AA25" s="371">
        <f t="shared" si="19"/>
        <v>59.391518223322691</v>
      </c>
      <c r="AB25" s="372">
        <f t="shared" si="20"/>
        <v>-0.2514469579479911</v>
      </c>
      <c r="AD25">
        <f t="shared" si="25"/>
        <v>0</v>
      </c>
      <c r="AE25">
        <f t="shared" si="21"/>
        <v>0</v>
      </c>
    </row>
    <row r="26" spans="1:31" x14ac:dyDescent="0.2">
      <c r="A26" s="373">
        <v>3.3113000000000001</v>
      </c>
      <c r="B26" s="390">
        <f t="shared" si="22"/>
        <v>3.3113000000000001E-3</v>
      </c>
      <c r="C26" s="363">
        <f t="shared" si="0"/>
        <v>1.0000109184306398</v>
      </c>
      <c r="D26" s="364">
        <f t="shared" si="1"/>
        <v>4.6729714951666739E-3</v>
      </c>
      <c r="E26" s="364">
        <f t="shared" si="2"/>
        <v>1.0000000003116658</v>
      </c>
      <c r="F26" s="365">
        <f t="shared" si="3"/>
        <v>2.4966613775480508E-5</v>
      </c>
      <c r="G26" s="364">
        <f t="shared" si="4"/>
        <v>1.0000000048532169</v>
      </c>
      <c r="H26" s="365">
        <f t="shared" si="5"/>
        <v>-9.8521236577075869E-5</v>
      </c>
      <c r="I26" s="363">
        <f t="shared" si="6"/>
        <v>13.772240413055856</v>
      </c>
      <c r="J26" s="366">
        <f t="shared" si="7"/>
        <v>1.4981225453995275</v>
      </c>
      <c r="K26" s="374">
        <f t="shared" si="8"/>
        <v>1.0000090309620036</v>
      </c>
      <c r="L26" s="375">
        <f t="shared" si="9"/>
        <v>4.2499162436005038E-3</v>
      </c>
      <c r="M26" s="363">
        <f t="shared" si="10"/>
        <v>1.0000000087172816</v>
      </c>
      <c r="N26" s="366">
        <f t="shared" si="11"/>
        <v>1.3204000565417587E-4</v>
      </c>
      <c r="O26" s="367">
        <f t="shared" si="12"/>
        <v>1.0000000014338486</v>
      </c>
      <c r="P26" s="368">
        <f t="shared" si="13"/>
        <v>6.535426368184216E-5</v>
      </c>
      <c r="Q26" s="369">
        <f t="shared" si="14"/>
        <v>67.206937801685882</v>
      </c>
      <c r="R26" s="370">
        <f t="shared" si="15"/>
        <v>-85.875862651315288</v>
      </c>
      <c r="S26" s="392">
        <f t="shared" si="16"/>
        <v>94.124137348684712</v>
      </c>
      <c r="U26" s="345">
        <f t="shared" si="23"/>
        <v>1000000000</v>
      </c>
      <c r="V26" s="345">
        <f t="shared" si="24"/>
        <v>10.964707690000001</v>
      </c>
      <c r="X26" s="371">
        <f t="shared" si="17"/>
        <v>65.31666079235643</v>
      </c>
      <c r="Y26" s="372">
        <f t="shared" si="18"/>
        <v>-85.600162213609892</v>
      </c>
      <c r="AA26" s="371">
        <f t="shared" si="19"/>
        <v>59.391502277163468</v>
      </c>
      <c r="AB26" s="372">
        <f t="shared" si="20"/>
        <v>-0.27570043770538483</v>
      </c>
      <c r="AD26">
        <f t="shared" si="25"/>
        <v>0</v>
      </c>
      <c r="AE26">
        <f t="shared" si="21"/>
        <v>0</v>
      </c>
    </row>
    <row r="27" spans="1:31" x14ac:dyDescent="0.2">
      <c r="A27" s="373">
        <v>3.6307999999999998</v>
      </c>
      <c r="B27" s="390">
        <f t="shared" si="22"/>
        <v>3.6308E-3</v>
      </c>
      <c r="C27" s="363">
        <f t="shared" si="0"/>
        <v>1.0000131270559192</v>
      </c>
      <c r="D27" s="364">
        <f t="shared" si="1"/>
        <v>5.1238486162369333E-3</v>
      </c>
      <c r="E27" s="364">
        <f t="shared" si="2"/>
        <v>1.0000000003747114</v>
      </c>
      <c r="F27" s="365">
        <f t="shared" si="3"/>
        <v>2.737558701784937E-5</v>
      </c>
      <c r="G27" s="364">
        <f t="shared" si="4"/>
        <v>1.0000000058349523</v>
      </c>
      <c r="H27" s="365">
        <f t="shared" si="5"/>
        <v>-1.080273323256512E-4</v>
      </c>
      <c r="I27" s="363">
        <f t="shared" si="6"/>
        <v>15.094394179665228</v>
      </c>
      <c r="J27" s="366">
        <f t="shared" si="7"/>
        <v>1.5044980082421693</v>
      </c>
      <c r="K27" s="374">
        <f t="shared" si="8"/>
        <v>1.0000108577843982</v>
      </c>
      <c r="L27" s="375">
        <f t="shared" si="9"/>
        <v>4.659975569949697E-3</v>
      </c>
      <c r="M27" s="363">
        <f t="shared" si="10"/>
        <v>1.000000010480661</v>
      </c>
      <c r="N27" s="366">
        <f t="shared" si="11"/>
        <v>1.4478025306242047E-4</v>
      </c>
      <c r="O27" s="367">
        <f t="shared" si="12"/>
        <v>1.0000000017238952</v>
      </c>
      <c r="P27" s="368">
        <f t="shared" si="13"/>
        <v>7.1660151765583677E-5</v>
      </c>
      <c r="Q27" s="369">
        <f t="shared" si="14"/>
        <v>66.410712640539742</v>
      </c>
      <c r="R27" s="370">
        <f t="shared" si="15"/>
        <v>-86.244986350775491</v>
      </c>
      <c r="S27" s="392">
        <f t="shared" si="16"/>
        <v>93.755013649224509</v>
      </c>
      <c r="U27" s="345">
        <f t="shared" si="23"/>
        <v>1000000000</v>
      </c>
      <c r="V27" s="345">
        <f t="shared" si="24"/>
        <v>13.182708639999998</v>
      </c>
      <c r="X27" s="371">
        <f t="shared" si="17"/>
        <v>64.520454808299533</v>
      </c>
      <c r="Y27" s="372">
        <f t="shared" si="18"/>
        <v>-85.942684620983798</v>
      </c>
      <c r="AA27" s="371">
        <f t="shared" si="19"/>
        <v>59.391483100074218</v>
      </c>
      <c r="AB27" s="372">
        <f t="shared" si="20"/>
        <v>-0.30230172979168934</v>
      </c>
      <c r="AD27">
        <f t="shared" si="25"/>
        <v>0</v>
      </c>
      <c r="AE27">
        <f t="shared" si="21"/>
        <v>0</v>
      </c>
    </row>
    <row r="28" spans="1:31" x14ac:dyDescent="0.2">
      <c r="A28" s="373">
        <v>3.9811000000000001</v>
      </c>
      <c r="B28" s="390">
        <f t="shared" si="22"/>
        <v>3.9811000000000004E-3</v>
      </c>
      <c r="C28" s="363">
        <f t="shared" si="0"/>
        <v>1.0000157822267368</v>
      </c>
      <c r="D28" s="364">
        <f t="shared" si="1"/>
        <v>5.6181881730617226E-3</v>
      </c>
      <c r="E28" s="364">
        <f t="shared" si="2"/>
        <v>1.0000000004505036</v>
      </c>
      <c r="F28" s="365">
        <f t="shared" si="3"/>
        <v>3.0016786788380885E-5</v>
      </c>
      <c r="G28" s="364">
        <f t="shared" si="4"/>
        <v>1.0000000070151802</v>
      </c>
      <c r="H28" s="365">
        <f t="shared" si="5"/>
        <v>-1.1844982163249554E-4</v>
      </c>
      <c r="I28" s="363">
        <f t="shared" si="6"/>
        <v>16.544591355612404</v>
      </c>
      <c r="J28" s="366">
        <f t="shared" si="7"/>
        <v>1.5103167495951051</v>
      </c>
      <c r="K28" s="374">
        <f t="shared" si="8"/>
        <v>1.0000130539593657</v>
      </c>
      <c r="L28" s="375">
        <f t="shared" si="9"/>
        <v>5.1095630659203249E-3</v>
      </c>
      <c r="M28" s="363">
        <f t="shared" si="10"/>
        <v>1.0000000126005699</v>
      </c>
      <c r="N28" s="366">
        <f t="shared" si="11"/>
        <v>1.5874866824176862E-4</v>
      </c>
      <c r="O28" s="367">
        <f t="shared" si="12"/>
        <v>1.0000000020725852</v>
      </c>
      <c r="P28" s="368">
        <f t="shared" si="13"/>
        <v>7.8573931404614915E-5</v>
      </c>
      <c r="Q28" s="369">
        <f t="shared" si="14"/>
        <v>65.613901490618048</v>
      </c>
      <c r="R28" s="370">
        <f t="shared" si="15"/>
        <v>-86.582582073653825</v>
      </c>
      <c r="S28" s="392">
        <f t="shared" si="16"/>
        <v>93.417417926346175</v>
      </c>
      <c r="U28" s="345">
        <f t="shared" si="23"/>
        <v>1000000000</v>
      </c>
      <c r="V28" s="345">
        <f t="shared" si="24"/>
        <v>15.849157210000001</v>
      </c>
      <c r="X28" s="371">
        <f t="shared" si="17"/>
        <v>63.723666712684199</v>
      </c>
      <c r="Y28" s="372">
        <f t="shared" si="18"/>
        <v>-86.251114808132982</v>
      </c>
      <c r="AA28" s="371">
        <f t="shared" si="19"/>
        <v>59.39146004576785</v>
      </c>
      <c r="AB28" s="372">
        <f t="shared" si="20"/>
        <v>-0.33146726552084377</v>
      </c>
      <c r="AD28">
        <f t="shared" si="25"/>
        <v>0</v>
      </c>
      <c r="AE28">
        <f t="shared" si="21"/>
        <v>0</v>
      </c>
    </row>
    <row r="29" spans="1:31" x14ac:dyDescent="0.2">
      <c r="A29" s="373">
        <v>4.3651999999999997</v>
      </c>
      <c r="B29" s="390">
        <f t="shared" si="22"/>
        <v>4.3651999999999996E-3</v>
      </c>
      <c r="C29" s="363">
        <f t="shared" si="0"/>
        <v>1.0000189744722343</v>
      </c>
      <c r="D29" s="364">
        <f t="shared" si="1"/>
        <v>6.1602227579281976E-3</v>
      </c>
      <c r="E29" s="364">
        <f t="shared" si="2"/>
        <v>1.0000000005416272</v>
      </c>
      <c r="F29" s="365">
        <f t="shared" si="3"/>
        <v>3.2912832553987671E-5</v>
      </c>
      <c r="G29" s="364">
        <f t="shared" si="4"/>
        <v>1.0000000084341427</v>
      </c>
      <c r="H29" s="365">
        <f t="shared" si="5"/>
        <v>-1.2987796360328712E-4</v>
      </c>
      <c r="I29" s="363">
        <f t="shared" si="6"/>
        <v>18.135252099609072</v>
      </c>
      <c r="J29" s="366">
        <f t="shared" si="7"/>
        <v>1.5156271210825005</v>
      </c>
      <c r="K29" s="374">
        <f t="shared" si="8"/>
        <v>1.0000156943669614</v>
      </c>
      <c r="L29" s="375">
        <f t="shared" si="9"/>
        <v>5.6025283047994772E-3</v>
      </c>
      <c r="M29" s="363">
        <f t="shared" si="10"/>
        <v>1.0000000151492909</v>
      </c>
      <c r="N29" s="366">
        <f t="shared" si="11"/>
        <v>1.7406487790598343E-4</v>
      </c>
      <c r="O29" s="367">
        <f t="shared" si="12"/>
        <v>1.0000000024918076</v>
      </c>
      <c r="P29" s="368">
        <f t="shared" si="13"/>
        <v>8.6154812814303279E-5</v>
      </c>
      <c r="Q29" s="369">
        <f t="shared" si="14"/>
        <v>64.816545637258031</v>
      </c>
      <c r="R29" s="370">
        <f t="shared" si="15"/>
        <v>-86.891456174094301</v>
      </c>
      <c r="S29" s="392">
        <f t="shared" si="16"/>
        <v>93.108543825905699</v>
      </c>
      <c r="U29" s="345">
        <f t="shared" si="23"/>
        <v>1000000000</v>
      </c>
      <c r="V29" s="345">
        <f t="shared" si="24"/>
        <v>19.054971039999998</v>
      </c>
      <c r="X29" s="371">
        <f t="shared" si="17"/>
        <v>62.926338576859308</v>
      </c>
      <c r="Y29" s="372">
        <f t="shared" si="18"/>
        <v>-86.528009408861209</v>
      </c>
      <c r="AA29" s="371">
        <f t="shared" si="19"/>
        <v>59.391432328232732</v>
      </c>
      <c r="AB29" s="372">
        <f t="shared" si="20"/>
        <v>-0.36344676523308134</v>
      </c>
      <c r="AD29">
        <f t="shared" si="25"/>
        <v>0</v>
      </c>
      <c r="AE29">
        <f t="shared" si="21"/>
        <v>0</v>
      </c>
    </row>
    <row r="30" spans="1:31" x14ac:dyDescent="0.2">
      <c r="A30" s="373">
        <v>4.7862999999999998</v>
      </c>
      <c r="B30" s="390">
        <f t="shared" si="22"/>
        <v>4.7862999999999994E-3</v>
      </c>
      <c r="C30" s="363">
        <f t="shared" si="0"/>
        <v>1.0000228118449559</v>
      </c>
      <c r="D30" s="364">
        <f t="shared" si="1"/>
        <v>6.7544668648403146E-3</v>
      </c>
      <c r="E30" s="364">
        <f t="shared" si="2"/>
        <v>1.0000000006511665</v>
      </c>
      <c r="F30" s="365">
        <f t="shared" si="3"/>
        <v>3.6087851746001869E-5</v>
      </c>
      <c r="G30" s="364">
        <f t="shared" si="4"/>
        <v>1.0000000101398723</v>
      </c>
      <c r="H30" s="365">
        <f t="shared" si="5"/>
        <v>-1.4240696794820835E-4</v>
      </c>
      <c r="I30" s="363">
        <f t="shared" si="6"/>
        <v>19.879628829218316</v>
      </c>
      <c r="J30" s="366">
        <f t="shared" si="7"/>
        <v>1.5204723384899528</v>
      </c>
      <c r="K30" s="374">
        <f t="shared" si="8"/>
        <v>1.0000188683816933</v>
      </c>
      <c r="L30" s="375">
        <f t="shared" si="9"/>
        <v>6.1429772941516553E-3</v>
      </c>
      <c r="M30" s="363">
        <f t="shared" si="10"/>
        <v>1.000000018213099</v>
      </c>
      <c r="N30" s="366">
        <f t="shared" si="11"/>
        <v>1.9085648387696212E-4</v>
      </c>
      <c r="O30" s="367">
        <f t="shared" si="12"/>
        <v>1.0000000029957534</v>
      </c>
      <c r="P30" s="368">
        <f t="shared" si="13"/>
        <v>9.446595355733117E-5</v>
      </c>
      <c r="Q30" s="369">
        <f t="shared" si="14"/>
        <v>64.018846373558887</v>
      </c>
      <c r="R30" s="370">
        <f t="shared" si="15"/>
        <v>-87.174123141194016</v>
      </c>
      <c r="S30" s="392">
        <f t="shared" si="16"/>
        <v>92.825876858805984</v>
      </c>
      <c r="U30" s="345">
        <f t="shared" si="23"/>
        <v>1000000000</v>
      </c>
      <c r="V30" s="345">
        <f t="shared" si="24"/>
        <v>22.908667689999998</v>
      </c>
      <c r="X30" s="371">
        <f t="shared" si="17"/>
        <v>62.12867263206973</v>
      </c>
      <c r="Y30" s="372">
        <f t="shared" si="18"/>
        <v>-86.775616559435875</v>
      </c>
      <c r="AA30" s="371">
        <f t="shared" si="19"/>
        <v>59.391399009323152</v>
      </c>
      <c r="AB30" s="372">
        <f t="shared" si="20"/>
        <v>-0.39850658175813253</v>
      </c>
      <c r="AD30">
        <f t="shared" si="25"/>
        <v>0</v>
      </c>
      <c r="AE30">
        <f t="shared" si="21"/>
        <v>0</v>
      </c>
    </row>
    <row r="31" spans="1:31" x14ac:dyDescent="0.2">
      <c r="A31" s="373">
        <v>5.2481</v>
      </c>
      <c r="B31" s="390">
        <f t="shared" si="22"/>
        <v>5.2481000000000003E-3</v>
      </c>
      <c r="C31" s="363">
        <f t="shared" si="0"/>
        <v>1.0000274260826343</v>
      </c>
      <c r="D31" s="364">
        <f t="shared" si="1"/>
        <v>7.4061401315250507E-3</v>
      </c>
      <c r="E31" s="364">
        <f t="shared" si="2"/>
        <v>1.0000000007828822</v>
      </c>
      <c r="F31" s="365">
        <f t="shared" si="3"/>
        <v>3.9569741706863706E-5</v>
      </c>
      <c r="G31" s="364">
        <f t="shared" si="4"/>
        <v>1.0000000121909305</v>
      </c>
      <c r="H31" s="365">
        <f t="shared" si="5"/>
        <v>-1.5614692089235211E-4</v>
      </c>
      <c r="I31" s="363">
        <f t="shared" si="6"/>
        <v>21.79304889447323</v>
      </c>
      <c r="J31" s="366">
        <f t="shared" si="7"/>
        <v>1.5248940181500312</v>
      </c>
      <c r="K31" s="374">
        <f t="shared" si="8"/>
        <v>1.0000226849692726</v>
      </c>
      <c r="L31" s="375">
        <f t="shared" si="9"/>
        <v>6.7356574201890328E-3</v>
      </c>
      <c r="M31" s="363">
        <f t="shared" si="10"/>
        <v>1.0000000218971814</v>
      </c>
      <c r="N31" s="366">
        <f t="shared" si="11"/>
        <v>2.0927102575572302E-4</v>
      </c>
      <c r="O31" s="367">
        <f t="shared" si="12"/>
        <v>1.000000003601724</v>
      </c>
      <c r="P31" s="368">
        <f t="shared" si="13"/>
        <v>1.0358037956520889E-4</v>
      </c>
      <c r="Q31" s="369">
        <f t="shared" si="14"/>
        <v>63.220644991937633</v>
      </c>
      <c r="R31" s="370">
        <f t="shared" si="15"/>
        <v>-87.433011819739662</v>
      </c>
      <c r="S31" s="392">
        <f t="shared" si="16"/>
        <v>92.566988180260338</v>
      </c>
      <c r="U31" s="345">
        <f t="shared" si="23"/>
        <v>1000000000</v>
      </c>
      <c r="V31" s="345">
        <f t="shared" si="24"/>
        <v>27.542553609999999</v>
      </c>
      <c r="X31" s="371">
        <f t="shared" si="17"/>
        <v>61.33051131450506</v>
      </c>
      <c r="Y31" s="372">
        <f t="shared" si="18"/>
        <v>-86.996057148277188</v>
      </c>
      <c r="AA31" s="371">
        <f t="shared" si="19"/>
        <v>59.391358945266568</v>
      </c>
      <c r="AB31" s="372">
        <f t="shared" si="20"/>
        <v>-0.4369546714624617</v>
      </c>
      <c r="AD31">
        <f t="shared" si="25"/>
        <v>0</v>
      </c>
      <c r="AE31">
        <f t="shared" si="21"/>
        <v>0</v>
      </c>
    </row>
    <row r="32" spans="1:31" x14ac:dyDescent="0.2">
      <c r="A32" s="373">
        <v>5.7544000000000004</v>
      </c>
      <c r="B32" s="390">
        <f t="shared" si="22"/>
        <v>5.7544000000000007E-3</v>
      </c>
      <c r="C32" s="363">
        <f t="shared" si="0"/>
        <v>1.000032973000325</v>
      </c>
      <c r="D32" s="364">
        <f t="shared" si="1"/>
        <v>8.1206027282255244E-3</v>
      </c>
      <c r="E32" s="364">
        <f t="shared" si="2"/>
        <v>1.0000000009412224</v>
      </c>
      <c r="F32" s="365">
        <f t="shared" si="3"/>
        <v>4.338715376115936E-5</v>
      </c>
      <c r="G32" s="364">
        <f t="shared" si="4"/>
        <v>1.0000000146565837</v>
      </c>
      <c r="H32" s="365">
        <f t="shared" si="5"/>
        <v>-1.7121088395914187E-4</v>
      </c>
      <c r="I32" s="363">
        <f t="shared" si="6"/>
        <v>23.891257493692766</v>
      </c>
      <c r="J32" s="366">
        <f t="shared" si="7"/>
        <v>1.5289277804215793</v>
      </c>
      <c r="K32" s="374">
        <f t="shared" si="8"/>
        <v>1.0000272730111617</v>
      </c>
      <c r="L32" s="375">
        <f t="shared" si="9"/>
        <v>7.3854439715524958E-3</v>
      </c>
      <c r="M32" s="363">
        <f t="shared" si="10"/>
        <v>1.0000000263259534</v>
      </c>
      <c r="N32" s="366">
        <f t="shared" si="11"/>
        <v>2.2946003068791148E-4</v>
      </c>
      <c r="O32" s="367">
        <f t="shared" si="12"/>
        <v>1.0000000043301838</v>
      </c>
      <c r="P32" s="368">
        <f t="shared" si="13"/>
        <v>1.1357309044252376E-4</v>
      </c>
      <c r="Q32" s="369">
        <f t="shared" si="14"/>
        <v>62.422216325708646</v>
      </c>
      <c r="R32" s="370">
        <f t="shared" si="15"/>
        <v>-87.670208703004349</v>
      </c>
      <c r="S32" s="392">
        <f t="shared" si="16"/>
        <v>92.329791296995651</v>
      </c>
      <c r="U32" s="345">
        <f t="shared" si="23"/>
        <v>1000000000</v>
      </c>
      <c r="V32" s="345">
        <f t="shared" si="24"/>
        <v>33.113119360000006</v>
      </c>
      <c r="X32" s="371">
        <f t="shared" si="17"/>
        <v>60.53213081027161</v>
      </c>
      <c r="Y32" s="372">
        <f t="shared" si="18"/>
        <v>-87.191101420016579</v>
      </c>
      <c r="AA32" s="371">
        <f t="shared" si="19"/>
        <v>59.391310783271038</v>
      </c>
      <c r="AB32" s="372">
        <f t="shared" si="20"/>
        <v>-0.47910728298778182</v>
      </c>
      <c r="AD32">
        <f t="shared" si="25"/>
        <v>0</v>
      </c>
      <c r="AE32">
        <f t="shared" si="21"/>
        <v>0</v>
      </c>
    </row>
    <row r="33" spans="1:31" x14ac:dyDescent="0.2">
      <c r="A33" s="373">
        <v>6.3095999999999997</v>
      </c>
      <c r="B33" s="390">
        <f t="shared" si="22"/>
        <v>6.3095999999999994E-3</v>
      </c>
      <c r="C33" s="363">
        <f t="shared" si="0"/>
        <v>1.0000396424584514</v>
      </c>
      <c r="D33" s="364">
        <f t="shared" si="1"/>
        <v>8.9040607468852239E-3</v>
      </c>
      <c r="E33" s="364">
        <f t="shared" si="2"/>
        <v>1.0000000011316077</v>
      </c>
      <c r="F33" s="365">
        <f t="shared" si="3"/>
        <v>4.757326312676649E-5</v>
      </c>
      <c r="G33" s="364">
        <f t="shared" si="4"/>
        <v>1.0000000176212336</v>
      </c>
      <c r="H33" s="365">
        <f t="shared" si="5"/>
        <v>-1.8772977048754264E-4</v>
      </c>
      <c r="I33" s="363">
        <f t="shared" si="6"/>
        <v>26.192489301374909</v>
      </c>
      <c r="J33" s="366">
        <f t="shared" si="7"/>
        <v>1.5326081620183869</v>
      </c>
      <c r="K33" s="374">
        <f t="shared" si="8"/>
        <v>1.0000327895497649</v>
      </c>
      <c r="L33" s="375">
        <f t="shared" si="9"/>
        <v>8.0979817026072386E-3</v>
      </c>
      <c r="M33" s="363">
        <f t="shared" si="10"/>
        <v>1.0000000316510169</v>
      </c>
      <c r="N33" s="366">
        <f t="shared" si="11"/>
        <v>2.5159895114845884E-4</v>
      </c>
      <c r="O33" s="367">
        <f t="shared" si="12"/>
        <v>1.0000000052060687</v>
      </c>
      <c r="P33" s="368">
        <f t="shared" si="13"/>
        <v>1.2453092783610843E-4</v>
      </c>
      <c r="Q33" s="369">
        <f t="shared" si="14"/>
        <v>61.62345096257674</v>
      </c>
      <c r="R33" s="370">
        <f t="shared" si="15"/>
        <v>-87.887745389530949</v>
      </c>
      <c r="S33" s="392">
        <f t="shared" si="16"/>
        <v>92.112254610469051</v>
      </c>
      <c r="U33" s="345">
        <f t="shared" si="23"/>
        <v>1000000000</v>
      </c>
      <c r="V33" s="345">
        <f t="shared" si="24"/>
        <v>39.811052159999996</v>
      </c>
      <c r="X33" s="371">
        <f t="shared" si="17"/>
        <v>59.733423355417244</v>
      </c>
      <c r="Y33" s="372">
        <f t="shared" si="18"/>
        <v>-87.362414814679113</v>
      </c>
      <c r="AA33" s="371">
        <f t="shared" si="19"/>
        <v>59.391252874993498</v>
      </c>
      <c r="AB33" s="372">
        <f t="shared" si="20"/>
        <v>-0.52533057485182844</v>
      </c>
      <c r="AD33">
        <f t="shared" si="25"/>
        <v>0</v>
      </c>
      <c r="AE33">
        <f t="shared" si="21"/>
        <v>0</v>
      </c>
    </row>
    <row r="34" spans="1:31" x14ac:dyDescent="0.2">
      <c r="A34" s="373">
        <v>6.9183000000000003</v>
      </c>
      <c r="B34" s="390">
        <f t="shared" si="22"/>
        <v>6.9183000000000005E-3</v>
      </c>
      <c r="C34" s="363">
        <f t="shared" si="0"/>
        <v>1.0000476599918915</v>
      </c>
      <c r="D34" s="364">
        <f t="shared" si="1"/>
        <v>9.7630014926576043E-3</v>
      </c>
      <c r="E34" s="364">
        <f t="shared" si="2"/>
        <v>1.0000000013604764</v>
      </c>
      <c r="F34" s="365">
        <f t="shared" si="3"/>
        <v>5.2162752985877209E-5</v>
      </c>
      <c r="G34" s="364">
        <f t="shared" si="4"/>
        <v>1.0000000211851445</v>
      </c>
      <c r="H34" s="365">
        <f t="shared" si="5"/>
        <v>-2.0584044441456889E-4</v>
      </c>
      <c r="I34" s="363">
        <f t="shared" si="6"/>
        <v>28.715810865521572</v>
      </c>
      <c r="J34" s="366">
        <f t="shared" si="7"/>
        <v>1.5359652633851397</v>
      </c>
      <c r="K34" s="374">
        <f t="shared" si="8"/>
        <v>1.0000394211363237</v>
      </c>
      <c r="L34" s="375">
        <f t="shared" si="9"/>
        <v>8.8791712840333003E-3</v>
      </c>
      <c r="M34" s="363">
        <f t="shared" si="10"/>
        <v>1.0000000380524647</v>
      </c>
      <c r="N34" s="366">
        <f t="shared" si="11"/>
        <v>2.7587121470489174E-4</v>
      </c>
      <c r="O34" s="367">
        <f t="shared" si="12"/>
        <v>1.0000000062590009</v>
      </c>
      <c r="P34" s="368">
        <f t="shared" si="13"/>
        <v>1.3654468073915531E-4</v>
      </c>
      <c r="Q34" s="369">
        <f t="shared" si="14"/>
        <v>60.824552712890522</v>
      </c>
      <c r="R34" s="370">
        <f t="shared" si="15"/>
        <v>-88.08740168542046</v>
      </c>
      <c r="S34" s="392">
        <f t="shared" si="16"/>
        <v>91.91259831457954</v>
      </c>
      <c r="U34" s="345">
        <f t="shared" si="23"/>
        <v>1000000000</v>
      </c>
      <c r="V34" s="345">
        <f t="shared" si="24"/>
        <v>47.862874890000008</v>
      </c>
      <c r="X34" s="371">
        <f t="shared" si="17"/>
        <v>58.934594718303934</v>
      </c>
      <c r="Y34" s="372">
        <f t="shared" si="18"/>
        <v>-87.511394386807595</v>
      </c>
      <c r="AA34" s="371">
        <f t="shared" si="19"/>
        <v>59.39118326242059</v>
      </c>
      <c r="AB34" s="372">
        <f t="shared" si="20"/>
        <v>-0.57600729861288058</v>
      </c>
      <c r="AD34">
        <f t="shared" si="25"/>
        <v>0</v>
      </c>
      <c r="AE34">
        <f t="shared" si="21"/>
        <v>0</v>
      </c>
    </row>
    <row r="35" spans="1:31" x14ac:dyDescent="0.2">
      <c r="A35" s="373">
        <v>7.5857999999999999</v>
      </c>
      <c r="B35" s="390">
        <f t="shared" si="22"/>
        <v>7.5858000000000002E-3</v>
      </c>
      <c r="C35" s="363">
        <f t="shared" si="0"/>
        <v>1.0000573001641972</v>
      </c>
      <c r="D35" s="364">
        <f t="shared" si="1"/>
        <v>1.07048987141743E-2</v>
      </c>
      <c r="E35" s="364">
        <f t="shared" si="2"/>
        <v>1.0000000016356674</v>
      </c>
      <c r="F35" s="365">
        <f t="shared" si="3"/>
        <v>5.7195584396119364E-5</v>
      </c>
      <c r="G35" s="364">
        <f t="shared" si="4"/>
        <v>1.0000000254703802</v>
      </c>
      <c r="H35" s="365">
        <f t="shared" si="5"/>
        <v>-2.2570059679100475E-4</v>
      </c>
      <c r="I35" s="363">
        <f t="shared" si="6"/>
        <v>31.483193067707003</v>
      </c>
      <c r="J35" s="366">
        <f t="shared" si="7"/>
        <v>1.5390280045018045</v>
      </c>
      <c r="K35" s="374">
        <f t="shared" si="8"/>
        <v>1.0000473948772661</v>
      </c>
      <c r="L35" s="375">
        <f t="shared" si="9"/>
        <v>9.7358107465618082E-3</v>
      </c>
      <c r="M35" s="363">
        <f t="shared" si="10"/>
        <v>1.0000000457495457</v>
      </c>
      <c r="N35" s="366">
        <f t="shared" si="11"/>
        <v>3.0248816179840335E-4</v>
      </c>
      <c r="O35" s="367">
        <f t="shared" si="12"/>
        <v>1.0000000075250435</v>
      </c>
      <c r="P35" s="368">
        <f t="shared" si="13"/>
        <v>1.4971895386016389E-4</v>
      </c>
      <c r="Q35" s="369">
        <f t="shared" si="14"/>
        <v>60.02538443305987</v>
      </c>
      <c r="R35" s="370">
        <f t="shared" si="15"/>
        <v>-88.270898147009802</v>
      </c>
      <c r="S35" s="392">
        <f t="shared" si="16"/>
        <v>91.729101852990198</v>
      </c>
      <c r="U35" s="345">
        <f t="shared" si="23"/>
        <v>1000000000</v>
      </c>
      <c r="V35" s="345">
        <f t="shared" si="24"/>
        <v>57.544361639999998</v>
      </c>
      <c r="X35" s="371">
        <f t="shared" si="17"/>
        <v>58.135510138937256</v>
      </c>
      <c r="Y35" s="372">
        <f t="shared" si="18"/>
        <v>-87.639319739644591</v>
      </c>
      <c r="AA35" s="371">
        <f t="shared" si="19"/>
        <v>59.391099561956608</v>
      </c>
      <c r="AB35" s="372">
        <f t="shared" si="20"/>
        <v>-0.63157840736522053</v>
      </c>
      <c r="AD35">
        <f t="shared" si="25"/>
        <v>0</v>
      </c>
      <c r="AE35">
        <f t="shared" si="21"/>
        <v>0</v>
      </c>
    </row>
    <row r="36" spans="1:31" x14ac:dyDescent="0.2">
      <c r="A36" s="373">
        <v>8.3176000000000005</v>
      </c>
      <c r="B36" s="390">
        <f t="shared" si="22"/>
        <v>8.3176000000000014E-3</v>
      </c>
      <c r="C36" s="363">
        <f t="shared" si="0"/>
        <v>1.0000688884852593</v>
      </c>
      <c r="D36" s="364">
        <f t="shared" si="1"/>
        <v>1.1737506618152307E-2</v>
      </c>
      <c r="E36" s="364">
        <f t="shared" si="2"/>
        <v>1.0000000019664743</v>
      </c>
      <c r="F36" s="365">
        <f t="shared" si="3"/>
        <v>6.2713226379320028E-5</v>
      </c>
      <c r="G36" s="364">
        <f t="shared" si="4"/>
        <v>1.0000000306216588</v>
      </c>
      <c r="H36" s="365">
        <f t="shared" si="5"/>
        <v>-2.4747386925860271E-4</v>
      </c>
      <c r="I36" s="363">
        <f t="shared" si="6"/>
        <v>34.517438385351142</v>
      </c>
      <c r="J36" s="366">
        <f t="shared" si="7"/>
        <v>1.5418214090489564</v>
      </c>
      <c r="K36" s="374">
        <f t="shared" si="8"/>
        <v>1.0000569800212549</v>
      </c>
      <c r="L36" s="375">
        <f t="shared" si="9"/>
        <v>1.0674953469134749E-2</v>
      </c>
      <c r="M36" s="363">
        <f t="shared" si="10"/>
        <v>1.000000055002201</v>
      </c>
      <c r="N36" s="366">
        <f t="shared" si="11"/>
        <v>3.3166910794573605E-4</v>
      </c>
      <c r="O36" s="367">
        <f t="shared" si="12"/>
        <v>1.0000000090469523</v>
      </c>
      <c r="P36" s="368">
        <f t="shared" si="13"/>
        <v>1.6416229925294518E-4</v>
      </c>
      <c r="Q36" s="369">
        <f t="shared" si="14"/>
        <v>59.226171276824431</v>
      </c>
      <c r="R36" s="370">
        <f t="shared" si="15"/>
        <v>-88.439734465462706</v>
      </c>
      <c r="S36" s="392">
        <f t="shared" si="16"/>
        <v>91.560265534537294</v>
      </c>
      <c r="U36" s="345">
        <f t="shared" si="23"/>
        <v>1000000000</v>
      </c>
      <c r="V36" s="345">
        <f t="shared" si="24"/>
        <v>69.182469760000004</v>
      </c>
      <c r="X36" s="371">
        <f t="shared" si="17"/>
        <v>57.336397596831652</v>
      </c>
      <c r="Y36" s="372">
        <f t="shared" si="18"/>
        <v>-87.747233061484934</v>
      </c>
      <c r="AA36" s="371">
        <f t="shared" si="19"/>
        <v>59.39099894782678</v>
      </c>
      <c r="AB36" s="372">
        <f t="shared" si="20"/>
        <v>-0.69250140397776139</v>
      </c>
      <c r="AD36">
        <f t="shared" si="25"/>
        <v>0</v>
      </c>
      <c r="AE36">
        <f t="shared" si="21"/>
        <v>0</v>
      </c>
    </row>
    <row r="37" spans="1:31" x14ac:dyDescent="0.2">
      <c r="A37" s="373">
        <v>9.1201000000000008</v>
      </c>
      <c r="B37" s="390">
        <f t="shared" si="22"/>
        <v>9.1201000000000008E-3</v>
      </c>
      <c r="C37" s="363">
        <f t="shared" si="0"/>
        <v>1.0000828221973557</v>
      </c>
      <c r="D37" s="364">
        <f t="shared" si="1"/>
        <v>1.2869847046172696E-2</v>
      </c>
      <c r="E37" s="364">
        <f t="shared" si="2"/>
        <v>1.0000000023642392</v>
      </c>
      <c r="F37" s="365">
        <f t="shared" si="3"/>
        <v>6.8763933797053075E-5</v>
      </c>
      <c r="G37" s="364">
        <f t="shared" si="4"/>
        <v>1.0000000368155972</v>
      </c>
      <c r="H37" s="365">
        <f t="shared" si="5"/>
        <v>-2.7135068117072547E-4</v>
      </c>
      <c r="I37" s="363">
        <f t="shared" si="6"/>
        <v>37.845083051481538</v>
      </c>
      <c r="J37" s="366">
        <f t="shared" si="7"/>
        <v>1.5443697391662614</v>
      </c>
      <c r="K37" s="374">
        <f t="shared" si="8"/>
        <v>1.0000685051533771</v>
      </c>
      <c r="L37" s="375">
        <f t="shared" si="9"/>
        <v>1.1704806090582462E-2</v>
      </c>
      <c r="M37" s="363">
        <f t="shared" si="10"/>
        <v>1.0000000661276678</v>
      </c>
      <c r="N37" s="366">
        <f t="shared" si="11"/>
        <v>3.6366925662939103E-4</v>
      </c>
      <c r="O37" s="367">
        <f t="shared" si="12"/>
        <v>1.0000000108769076</v>
      </c>
      <c r="P37" s="368">
        <f t="shared" si="13"/>
        <v>1.8000103203294598E-4</v>
      </c>
      <c r="Q37" s="369">
        <f t="shared" si="14"/>
        <v>58.42673221691642</v>
      </c>
      <c r="R37" s="370">
        <f t="shared" si="15"/>
        <v>-88.595377471493563</v>
      </c>
      <c r="S37" s="392">
        <f t="shared" si="16"/>
        <v>91.404622528506437</v>
      </c>
      <c r="U37" s="345">
        <f t="shared" si="23"/>
        <v>1000000000</v>
      </c>
      <c r="V37" s="345">
        <f t="shared" si="24"/>
        <v>83.176224010000013</v>
      </c>
      <c r="X37" s="371">
        <f t="shared" si="17"/>
        <v>56.53707951306933</v>
      </c>
      <c r="Y37" s="372">
        <f t="shared" si="18"/>
        <v>-87.836068886848039</v>
      </c>
      <c r="AA37" s="371">
        <f t="shared" si="19"/>
        <v>59.3908779716811</v>
      </c>
      <c r="AB37" s="372">
        <f t="shared" si="20"/>
        <v>-0.75930858464552253</v>
      </c>
      <c r="AD37">
        <f t="shared" si="25"/>
        <v>0</v>
      </c>
      <c r="AE37">
        <f t="shared" si="21"/>
        <v>0</v>
      </c>
    </row>
    <row r="38" spans="1:31" x14ac:dyDescent="0.2">
      <c r="A38" s="373">
        <v>10</v>
      </c>
      <c r="B38" s="390">
        <f t="shared" si="22"/>
        <v>0.01</v>
      </c>
      <c r="C38" s="363">
        <f t="shared" si="0"/>
        <v>1.0000995735316009</v>
      </c>
      <c r="D38" s="364">
        <f t="shared" si="1"/>
        <v>1.4111362081388131E-2</v>
      </c>
      <c r="E38" s="364">
        <f t="shared" si="2"/>
        <v>1.0000000028424461</v>
      </c>
      <c r="F38" s="365">
        <f t="shared" si="3"/>
        <v>7.5398223457123084E-5</v>
      </c>
      <c r="G38" s="364">
        <f t="shared" si="4"/>
        <v>1.0000000442621646</v>
      </c>
      <c r="H38" s="365">
        <f t="shared" si="5"/>
        <v>-2.9753037776300486E-4</v>
      </c>
      <c r="I38" s="363">
        <f t="shared" si="6"/>
        <v>41.493909354048021</v>
      </c>
      <c r="J38" s="366">
        <f t="shared" si="7"/>
        <v>1.5466940707789658</v>
      </c>
      <c r="K38" s="374">
        <f t="shared" si="8"/>
        <v>1.0000823608905278</v>
      </c>
      <c r="L38" s="375">
        <f t="shared" si="9"/>
        <v>1.2833957936774696E-2</v>
      </c>
      <c r="M38" s="363">
        <f t="shared" si="10"/>
        <v>1.0000000795030888</v>
      </c>
      <c r="N38" s="366">
        <f t="shared" si="11"/>
        <v>3.9875577393512301E-4</v>
      </c>
      <c r="O38" s="367">
        <f t="shared" si="12"/>
        <v>1.0000000130769433</v>
      </c>
      <c r="P38" s="368">
        <f t="shared" si="13"/>
        <v>1.9736738833296111E-4</v>
      </c>
      <c r="Q38" s="369">
        <f t="shared" si="14"/>
        <v>57.627209179240431</v>
      </c>
      <c r="R38" s="370">
        <f t="shared" si="15"/>
        <v>-88.739114997365277</v>
      </c>
      <c r="S38" s="392">
        <f t="shared" si="16"/>
        <v>91.260885002634723</v>
      </c>
      <c r="U38" s="345">
        <f t="shared" si="23"/>
        <v>1000000000</v>
      </c>
      <c r="V38" s="345">
        <f t="shared" si="24"/>
        <v>100</v>
      </c>
      <c r="X38" s="371">
        <f t="shared" si="17"/>
        <v>55.737701912641342</v>
      </c>
      <c r="Y38" s="372">
        <f t="shared" si="18"/>
        <v>-87.906557952668592</v>
      </c>
      <c r="AA38" s="371">
        <f t="shared" si="19"/>
        <v>59.390732534433106</v>
      </c>
      <c r="AB38" s="372">
        <f t="shared" si="20"/>
        <v>-0.83255704469669389</v>
      </c>
      <c r="AD38">
        <f t="shared" si="25"/>
        <v>0</v>
      </c>
      <c r="AE38">
        <f t="shared" si="21"/>
        <v>0</v>
      </c>
    </row>
    <row r="39" spans="1:31" x14ac:dyDescent="0.2">
      <c r="A39" s="373">
        <v>10.965</v>
      </c>
      <c r="B39" s="390">
        <f t="shared" si="22"/>
        <v>1.0964999999999999E-2</v>
      </c>
      <c r="C39" s="363">
        <f t="shared" si="0"/>
        <v>1.0001197172711027</v>
      </c>
      <c r="D39" s="364">
        <f t="shared" si="1"/>
        <v>1.547290074949847E-2</v>
      </c>
      <c r="E39" s="364">
        <f t="shared" si="2"/>
        <v>1.0000000034175076</v>
      </c>
      <c r="F39" s="365">
        <f t="shared" si="3"/>
        <v>8.2674151989040292E-5</v>
      </c>
      <c r="G39" s="364">
        <f t="shared" si="4"/>
        <v>1.0000000532169424</v>
      </c>
      <c r="H39" s="365">
        <f t="shared" si="5"/>
        <v>-3.2624205726951809E-4</v>
      </c>
      <c r="I39" s="363">
        <f t="shared" si="6"/>
        <v>45.495848246621847</v>
      </c>
      <c r="J39" s="366">
        <f t="shared" si="7"/>
        <v>1.5488145289754958</v>
      </c>
      <c r="K39" s="374">
        <f t="shared" si="8"/>
        <v>1.0000990226826887</v>
      </c>
      <c r="L39" s="375">
        <f t="shared" si="9"/>
        <v>1.4072278574280055E-2</v>
      </c>
      <c r="M39" s="363">
        <f t="shared" si="10"/>
        <v>1.0000000955875368</v>
      </c>
      <c r="N39" s="366">
        <f t="shared" si="11"/>
        <v>4.3723570143139936E-4</v>
      </c>
      <c r="O39" s="367">
        <f t="shared" si="12"/>
        <v>1.000000015722569</v>
      </c>
      <c r="P39" s="368">
        <f t="shared" si="13"/>
        <v>2.1641334101879658E-4</v>
      </c>
      <c r="Q39" s="369">
        <f t="shared" si="14"/>
        <v>56.827430606157812</v>
      </c>
      <c r="R39" s="370">
        <f t="shared" si="15"/>
        <v>-88.87219234413476</v>
      </c>
      <c r="S39" s="392">
        <f t="shared" si="16"/>
        <v>91.12780765586524</v>
      </c>
      <c r="U39" s="345">
        <f t="shared" si="23"/>
        <v>1000000000</v>
      </c>
      <c r="V39" s="345">
        <f t="shared" si="24"/>
        <v>120.23122499999999</v>
      </c>
      <c r="X39" s="371">
        <f t="shared" si="17"/>
        <v>54.938098226879262</v>
      </c>
      <c r="Y39" s="372">
        <f t="shared" si="18"/>
        <v>-87.959305449252469</v>
      </c>
      <c r="AA39" s="371">
        <f t="shared" si="19"/>
        <v>59.390557647112551</v>
      </c>
      <c r="AB39" s="372">
        <f t="shared" si="20"/>
        <v>-0.91288689488231201</v>
      </c>
      <c r="AD39">
        <f t="shared" si="25"/>
        <v>0</v>
      </c>
      <c r="AE39">
        <f t="shared" si="21"/>
        <v>0</v>
      </c>
    </row>
    <row r="40" spans="1:31" x14ac:dyDescent="0.2">
      <c r="A40" s="373">
        <v>12.023</v>
      </c>
      <c r="B40" s="390">
        <f t="shared" si="22"/>
        <v>1.2022999999999999E-2</v>
      </c>
      <c r="C40" s="363">
        <f t="shared" si="0"/>
        <v>1.0001439328659196</v>
      </c>
      <c r="D40" s="364">
        <f t="shared" si="1"/>
        <v>1.6965588946339663E-2</v>
      </c>
      <c r="E40" s="364">
        <f t="shared" si="2"/>
        <v>1.0000000041088275</v>
      </c>
      <c r="F40" s="365">
        <f t="shared" si="3"/>
        <v>9.0651283985966331E-5</v>
      </c>
      <c r="G40" s="364">
        <f t="shared" si="4"/>
        <v>1.0000000639820774</v>
      </c>
      <c r="H40" s="365">
        <f t="shared" si="5"/>
        <v>-3.577207684816459E-4</v>
      </c>
      <c r="I40" s="363">
        <f t="shared" si="6"/>
        <v>49.88366177283811</v>
      </c>
      <c r="J40" s="366">
        <f t="shared" si="7"/>
        <v>1.5507483400481046</v>
      </c>
      <c r="K40" s="374">
        <f t="shared" si="8"/>
        <v>1.0001190525661356</v>
      </c>
      <c r="L40" s="375">
        <f t="shared" si="9"/>
        <v>1.5429890218289328E-2</v>
      </c>
      <c r="M40" s="363">
        <f t="shared" si="10"/>
        <v>1.0000001149237236</v>
      </c>
      <c r="N40" s="366">
        <f t="shared" si="11"/>
        <v>4.7942405568119614E-4</v>
      </c>
      <c r="O40" s="367">
        <f t="shared" si="12"/>
        <v>1.000000018903052</v>
      </c>
      <c r="P40" s="368">
        <f t="shared" si="13"/>
        <v>2.3729481029658667E-4</v>
      </c>
      <c r="Q40" s="369">
        <f t="shared" si="14"/>
        <v>56.027662976816927</v>
      </c>
      <c r="R40" s="370">
        <f t="shared" si="15"/>
        <v>-88.99569104950416</v>
      </c>
      <c r="S40" s="392">
        <f t="shared" si="16"/>
        <v>91.00430895049584</v>
      </c>
      <c r="U40" s="345">
        <f t="shared" si="23"/>
        <v>1000000000</v>
      </c>
      <c r="V40" s="345">
        <f t="shared" si="24"/>
        <v>144.55252899999999</v>
      </c>
      <c r="X40" s="371">
        <f t="shared" si="17"/>
        <v>54.138540831914675</v>
      </c>
      <c r="Y40" s="372">
        <f t="shared" si="18"/>
        <v>-87.994736459352652</v>
      </c>
      <c r="AA40" s="371">
        <f t="shared" si="19"/>
        <v>59.390347412736247</v>
      </c>
      <c r="AB40" s="372">
        <f t="shared" si="20"/>
        <v>-1.00095459015151</v>
      </c>
      <c r="AD40">
        <f t="shared" si="25"/>
        <v>0</v>
      </c>
      <c r="AE40">
        <f t="shared" si="21"/>
        <v>0</v>
      </c>
    </row>
    <row r="41" spans="1:31" x14ac:dyDescent="0.2">
      <c r="A41" s="373">
        <v>13.183</v>
      </c>
      <c r="B41" s="390">
        <f t="shared" si="22"/>
        <v>1.3183E-2</v>
      </c>
      <c r="C41" s="363">
        <f t="shared" si="0"/>
        <v>1.0001730439667278</v>
      </c>
      <c r="D41" s="364">
        <f t="shared" si="1"/>
        <v>1.8602097564516078E-2</v>
      </c>
      <c r="E41" s="364">
        <f t="shared" si="2"/>
        <v>1.0000000049399294</v>
      </c>
      <c r="F41" s="365">
        <f t="shared" si="3"/>
        <v>9.9397477844535666E-5</v>
      </c>
      <c r="G41" s="364">
        <f t="shared" si="4"/>
        <v>1.0000000769238735</v>
      </c>
      <c r="H41" s="365">
        <f t="shared" si="5"/>
        <v>-3.922342884642748E-4</v>
      </c>
      <c r="I41" s="363">
        <f t="shared" si="6"/>
        <v>54.694675352049522</v>
      </c>
      <c r="J41" s="366">
        <f t="shared" si="7"/>
        <v>1.55251199262131</v>
      </c>
      <c r="K41" s="374">
        <f t="shared" si="8"/>
        <v>1.000143131869049</v>
      </c>
      <c r="L41" s="375">
        <f t="shared" si="9"/>
        <v>1.691832136220452E-2</v>
      </c>
      <c r="M41" s="363">
        <f t="shared" si="10"/>
        <v>1.000000138169598</v>
      </c>
      <c r="N41" s="366">
        <f t="shared" si="11"/>
        <v>5.256797162188114E-4</v>
      </c>
      <c r="O41" s="367">
        <f t="shared" si="12"/>
        <v>1.0000000227266141</v>
      </c>
      <c r="P41" s="368">
        <f t="shared" si="13"/>
        <v>2.6018942677510936E-4</v>
      </c>
      <c r="Q41" s="369">
        <f t="shared" si="14"/>
        <v>55.227884709301833</v>
      </c>
      <c r="R41" s="370">
        <f t="shared" si="15"/>
        <v>-89.110663490985146</v>
      </c>
      <c r="S41" s="392">
        <f t="shared" si="16"/>
        <v>90.889336509014854</v>
      </c>
      <c r="U41" s="345">
        <f t="shared" si="23"/>
        <v>1000000000</v>
      </c>
      <c r="V41" s="345">
        <f t="shared" si="24"/>
        <v>173.79148899999998</v>
      </c>
      <c r="X41" s="371">
        <f t="shared" si="17"/>
        <v>53.339015293721275</v>
      </c>
      <c r="Y41" s="372">
        <f t="shared" si="18"/>
        <v>-88.013155739830978</v>
      </c>
      <c r="AA41" s="371">
        <f t="shared" si="19"/>
        <v>59.39009468341456</v>
      </c>
      <c r="AB41" s="372">
        <f t="shared" si="20"/>
        <v>-1.0975077511541689</v>
      </c>
      <c r="AD41">
        <f t="shared" si="25"/>
        <v>0</v>
      </c>
      <c r="AE41">
        <f t="shared" si="21"/>
        <v>0</v>
      </c>
    </row>
    <row r="42" spans="1:31" x14ac:dyDescent="0.2">
      <c r="A42" s="373">
        <v>14.454000000000001</v>
      </c>
      <c r="B42" s="390">
        <f t="shared" si="22"/>
        <v>1.4454E-2</v>
      </c>
      <c r="C42" s="363">
        <f t="shared" si="0"/>
        <v>1.0002080158679534</v>
      </c>
      <c r="D42" s="364">
        <f t="shared" si="1"/>
        <v>2.0395088404732455E-2</v>
      </c>
      <c r="E42" s="364">
        <f t="shared" si="2"/>
        <v>1.0000000059383847</v>
      </c>
      <c r="F42" s="365">
        <f t="shared" si="3"/>
        <v>1.0898059195999422E-4</v>
      </c>
      <c r="G42" s="364">
        <f t="shared" si="4"/>
        <v>1.0000000924716779</v>
      </c>
      <c r="H42" s="365">
        <f t="shared" si="5"/>
        <v>-4.3005039419696757E-4</v>
      </c>
      <c r="I42" s="363">
        <f t="shared" si="6"/>
        <v>59.966215644643313</v>
      </c>
      <c r="J42" s="366">
        <f t="shared" si="7"/>
        <v>1.5541194972913643</v>
      </c>
      <c r="K42" s="374">
        <f t="shared" si="8"/>
        <v>1.0001720591044321</v>
      </c>
      <c r="L42" s="375">
        <f t="shared" si="9"/>
        <v>1.8549093658405652E-2</v>
      </c>
      <c r="M42" s="363">
        <f t="shared" si="10"/>
        <v>1.0000001660963482</v>
      </c>
      <c r="N42" s="366">
        <f t="shared" si="11"/>
        <v>5.7636156237314464E-4</v>
      </c>
      <c r="O42" s="367">
        <f t="shared" si="12"/>
        <v>1.0000000273201033</v>
      </c>
      <c r="P42" s="368">
        <f t="shared" si="13"/>
        <v>2.8527482105051281E-4</v>
      </c>
      <c r="Q42" s="369">
        <f t="shared" si="14"/>
        <v>54.42860021887941</v>
      </c>
      <c r="R42" s="370">
        <f t="shared" si="15"/>
        <v>-89.218019936545005</v>
      </c>
      <c r="S42" s="392">
        <f t="shared" si="16"/>
        <v>90.781980063454995</v>
      </c>
      <c r="U42" s="345">
        <f t="shared" si="23"/>
        <v>1000000000</v>
      </c>
      <c r="V42" s="345">
        <f t="shared" si="24"/>
        <v>208.91811600000003</v>
      </c>
      <c r="X42" s="371">
        <f t="shared" si="17"/>
        <v>52.540034403688189</v>
      </c>
      <c r="Y42" s="372">
        <f t="shared" si="18"/>
        <v>-88.014726458937858</v>
      </c>
      <c r="AA42" s="371">
        <f t="shared" si="19"/>
        <v>59.389791083025223</v>
      </c>
      <c r="AB42" s="372">
        <f t="shared" si="20"/>
        <v>-1.2032934776071587</v>
      </c>
      <c r="AD42">
        <f t="shared" si="25"/>
        <v>0</v>
      </c>
      <c r="AE42">
        <f t="shared" si="21"/>
        <v>0</v>
      </c>
    </row>
    <row r="43" spans="1:31" x14ac:dyDescent="0.2">
      <c r="A43" s="373">
        <v>15.849</v>
      </c>
      <c r="B43" s="390">
        <f t="shared" si="22"/>
        <v>1.5848999999999999E-2</v>
      </c>
      <c r="C43" s="363">
        <f t="shared" si="0"/>
        <v>1.0002501007290683</v>
      </c>
      <c r="D43" s="364">
        <f t="shared" si="1"/>
        <v>2.2362853792764148E-2</v>
      </c>
      <c r="E43" s="364">
        <f t="shared" si="2"/>
        <v>1.0000000071399631</v>
      </c>
      <c r="F43" s="365">
        <f t="shared" si="3"/>
        <v>1.1949864401482941E-4</v>
      </c>
      <c r="G43" s="364">
        <f t="shared" si="4"/>
        <v>1.0000001111824819</v>
      </c>
      <c r="H43" s="365">
        <f t="shared" si="5"/>
        <v>-4.7155587467880797E-4</v>
      </c>
      <c r="I43" s="363">
        <f t="shared" si="6"/>
        <v>65.752200925739913</v>
      </c>
      <c r="J43" s="366">
        <f t="shared" si="7"/>
        <v>1.5555871240569092</v>
      </c>
      <c r="K43" s="374">
        <f t="shared" si="8"/>
        <v>1.0002068701025411</v>
      </c>
      <c r="L43" s="375">
        <f t="shared" si="9"/>
        <v>2.0338851793352059E-2</v>
      </c>
      <c r="M43" s="363">
        <f t="shared" si="10"/>
        <v>1.0000001997044339</v>
      </c>
      <c r="N43" s="366">
        <f t="shared" si="11"/>
        <v>6.3198797546590985E-4</v>
      </c>
      <c r="O43" s="367">
        <f t="shared" si="12"/>
        <v>1.000000032848078</v>
      </c>
      <c r="P43" s="368">
        <f t="shared" si="13"/>
        <v>3.1280757065480039E-4</v>
      </c>
      <c r="Q43" s="369">
        <f t="shared" si="14"/>
        <v>53.628463851029728</v>
      </c>
      <c r="R43" s="370">
        <f t="shared" si="15"/>
        <v>-89.31884793846811</v>
      </c>
      <c r="S43" s="392">
        <f t="shared" si="16"/>
        <v>90.68115206153189</v>
      </c>
      <c r="U43" s="345">
        <f t="shared" si="23"/>
        <v>1000000000</v>
      </c>
      <c r="V43" s="345">
        <f t="shared" si="24"/>
        <v>251.19080099999999</v>
      </c>
      <c r="X43" s="371">
        <f t="shared" si="17"/>
        <v>51.74026337164446</v>
      </c>
      <c r="Y43" s="372">
        <f t="shared" si="18"/>
        <v>-87.9994568497046</v>
      </c>
      <c r="AA43" s="371">
        <f t="shared" si="19"/>
        <v>59.389425747219271</v>
      </c>
      <c r="AB43" s="372">
        <f t="shared" si="20"/>
        <v>-1.3193910887635054</v>
      </c>
      <c r="AD43">
        <f t="shared" si="25"/>
        <v>0</v>
      </c>
      <c r="AE43">
        <f t="shared" si="21"/>
        <v>0</v>
      </c>
    </row>
    <row r="44" spans="1:31" x14ac:dyDescent="0.2">
      <c r="A44" s="373">
        <v>17.378</v>
      </c>
      <c r="B44" s="390">
        <f t="shared" si="22"/>
        <v>1.7378000000000001E-2</v>
      </c>
      <c r="C44" s="363">
        <f t="shared" si="0"/>
        <v>1.0003006767392295</v>
      </c>
      <c r="D44" s="364">
        <f t="shared" si="1"/>
        <v>2.4519437995330042E-2</v>
      </c>
      <c r="E44" s="364">
        <f t="shared" si="2"/>
        <v>1.0000000085840417</v>
      </c>
      <c r="F44" s="365">
        <f t="shared" si="3"/>
        <v>1.3102703222225235E-4</v>
      </c>
      <c r="G44" s="364">
        <f t="shared" si="4"/>
        <v>1.0000001336694664</v>
      </c>
      <c r="H44" s="365">
        <f t="shared" si="5"/>
        <v>-5.1704825965795767E-4</v>
      </c>
      <c r="I44" s="363">
        <f t="shared" si="6"/>
        <v>72.094107924477385</v>
      </c>
      <c r="J44" s="366">
        <f t="shared" si="7"/>
        <v>1.556925122921339</v>
      </c>
      <c r="K44" s="374">
        <f t="shared" si="8"/>
        <v>1.0002487049913584</v>
      </c>
      <c r="L44" s="375">
        <f t="shared" si="9"/>
        <v>2.2300379241234892E-2</v>
      </c>
      <c r="M44" s="363">
        <f t="shared" si="10"/>
        <v>1.0000002400952419</v>
      </c>
      <c r="N44" s="366">
        <f t="shared" si="11"/>
        <v>6.929577097554145E-4</v>
      </c>
      <c r="O44" s="367">
        <f t="shared" si="12"/>
        <v>1.000000039491699</v>
      </c>
      <c r="P44" s="368">
        <f t="shared" si="13"/>
        <v>3.4298504288310855E-4</v>
      </c>
      <c r="Q44" s="369">
        <f t="shared" si="14"/>
        <v>52.828598208494867</v>
      </c>
      <c r="R44" s="370">
        <f t="shared" si="15"/>
        <v>-89.413853899228926</v>
      </c>
      <c r="S44" s="392">
        <f t="shared" si="16"/>
        <v>90.586146100771074</v>
      </c>
      <c r="U44" s="345">
        <f t="shared" si="23"/>
        <v>1000000000</v>
      </c>
      <c r="V44" s="345">
        <f t="shared" si="24"/>
        <v>301.99488400000001</v>
      </c>
      <c r="X44" s="371">
        <f t="shared" si="17"/>
        <v>50.940836755651176</v>
      </c>
      <c r="Y44" s="372">
        <f t="shared" si="18"/>
        <v>-87.967224601882961</v>
      </c>
      <c r="AA44" s="371">
        <f t="shared" si="19"/>
        <v>59.388986720677686</v>
      </c>
      <c r="AB44" s="372">
        <f t="shared" si="20"/>
        <v>-1.4466292973459793</v>
      </c>
      <c r="AD44">
        <f t="shared" si="25"/>
        <v>0</v>
      </c>
      <c r="AE44">
        <f t="shared" si="21"/>
        <v>0</v>
      </c>
    </row>
    <row r="45" spans="1:31" x14ac:dyDescent="0.2">
      <c r="A45" s="373">
        <v>19.055</v>
      </c>
      <c r="B45" s="390">
        <f t="shared" si="22"/>
        <v>1.9054999999999999E-2</v>
      </c>
      <c r="C45" s="363">
        <f t="shared" si="0"/>
        <v>1.0003614972080068</v>
      </c>
      <c r="D45" s="364">
        <f t="shared" si="1"/>
        <v>2.6884506370651397E-2</v>
      </c>
      <c r="E45" s="364">
        <f t="shared" si="2"/>
        <v>1.0000000103207234</v>
      </c>
      <c r="F45" s="365">
        <f t="shared" si="3"/>
        <v>1.4367131408127209E-4</v>
      </c>
      <c r="G45" s="364">
        <f t="shared" si="4"/>
        <v>1.0000001607128226</v>
      </c>
      <c r="H45" s="365">
        <f t="shared" si="5"/>
        <v>-5.6694409081339901E-4</v>
      </c>
      <c r="I45" s="363">
        <f t="shared" si="6"/>
        <v>79.050005101348106</v>
      </c>
      <c r="J45" s="366">
        <f t="shared" si="7"/>
        <v>1.5581457688096636</v>
      </c>
      <c r="K45" s="374">
        <f t="shared" si="8"/>
        <v>1.000299014258945</v>
      </c>
      <c r="L45" s="375">
        <f t="shared" si="9"/>
        <v>2.4451575409860472E-2</v>
      </c>
      <c r="M45" s="363">
        <f t="shared" si="10"/>
        <v>1.0000002886701402</v>
      </c>
      <c r="N45" s="366">
        <f t="shared" si="11"/>
        <v>7.5982902127925316E-4</v>
      </c>
      <c r="O45" s="367">
        <f t="shared" si="12"/>
        <v>1.0000000474814679</v>
      </c>
      <c r="P45" s="368">
        <f t="shared" si="13"/>
        <v>3.7608355195329929E-4</v>
      </c>
      <c r="Q45" s="369">
        <f t="shared" si="14"/>
        <v>52.028464124174285</v>
      </c>
      <c r="R45" s="370">
        <f t="shared" si="15"/>
        <v>-89.50390793716538</v>
      </c>
      <c r="S45" s="392">
        <f t="shared" si="16"/>
        <v>90.49609206283462</v>
      </c>
      <c r="U45" s="345">
        <f t="shared" si="23"/>
        <v>1000000000</v>
      </c>
      <c r="V45" s="345">
        <f t="shared" si="24"/>
        <v>363.09302500000001</v>
      </c>
      <c r="X45" s="371">
        <f t="shared" si="17"/>
        <v>50.141230595779653</v>
      </c>
      <c r="Y45" s="372">
        <f t="shared" si="18"/>
        <v>-87.917739442061276</v>
      </c>
      <c r="AA45" s="371">
        <f t="shared" si="19"/>
        <v>59.38845879622864</v>
      </c>
      <c r="AB45" s="372">
        <f t="shared" si="20"/>
        <v>-1.5861684951041082</v>
      </c>
      <c r="AD45">
        <f t="shared" si="25"/>
        <v>0</v>
      </c>
      <c r="AE45">
        <f t="shared" ref="AE45:AE76" si="26">IF(AD45&gt;0,S43,0)</f>
        <v>0</v>
      </c>
    </row>
    <row r="46" spans="1:31" x14ac:dyDescent="0.2">
      <c r="A46" s="373">
        <v>20.893000000000001</v>
      </c>
      <c r="B46" s="390">
        <f t="shared" si="22"/>
        <v>2.0893000000000002E-2</v>
      </c>
      <c r="C46" s="363">
        <f t="shared" si="0"/>
        <v>1.0004345830489185</v>
      </c>
      <c r="D46" s="364">
        <f t="shared" si="1"/>
        <v>2.947628612653283E-2</v>
      </c>
      <c r="E46" s="364">
        <f t="shared" si="2"/>
        <v>1.000000012407773</v>
      </c>
      <c r="F46" s="365">
        <f t="shared" si="3"/>
        <v>1.5752950726441976E-4</v>
      </c>
      <c r="G46" s="364">
        <f t="shared" si="4"/>
        <v>1.0000001932120568</v>
      </c>
      <c r="H46" s="365">
        <f t="shared" si="5"/>
        <v>-6.216301565324184E-4</v>
      </c>
      <c r="I46" s="363">
        <f t="shared" si="6"/>
        <v>86.673814119714891</v>
      </c>
      <c r="J46" s="366">
        <f t="shared" si="7"/>
        <v>1.5592585607789988</v>
      </c>
      <c r="K46" s="374">
        <f t="shared" si="8"/>
        <v>1.0003594698541971</v>
      </c>
      <c r="L46" s="375">
        <f t="shared" si="9"/>
        <v>2.6809035979357888E-2</v>
      </c>
      <c r="M46" s="363">
        <f t="shared" si="10"/>
        <v>1.0000003470448091</v>
      </c>
      <c r="N46" s="366">
        <f t="shared" si="11"/>
        <v>8.331202898863722E-4</v>
      </c>
      <c r="O46" s="367">
        <f t="shared" si="12"/>
        <v>1.0000000570831378</v>
      </c>
      <c r="P46" s="368">
        <f t="shared" si="13"/>
        <v>4.1235967530681519E-4</v>
      </c>
      <c r="Q46" s="369">
        <f t="shared" si="14"/>
        <v>51.228634088752955</v>
      </c>
      <c r="R46" s="370">
        <f t="shared" si="15"/>
        <v>-89.589708734935513</v>
      </c>
      <c r="S46" s="392">
        <f t="shared" si="16"/>
        <v>90.410291265064487</v>
      </c>
      <c r="U46" s="345">
        <f t="shared" si="23"/>
        <v>1000000000</v>
      </c>
      <c r="V46" s="345">
        <f t="shared" si="24"/>
        <v>436.51744900000006</v>
      </c>
      <c r="X46" s="371">
        <f t="shared" si="17"/>
        <v>49.342034906311781</v>
      </c>
      <c r="Y46" s="372">
        <f t="shared" si="18"/>
        <v>-87.850624464669181</v>
      </c>
      <c r="AA46" s="371">
        <f t="shared" si="19"/>
        <v>59.387824450275176</v>
      </c>
      <c r="AB46" s="372">
        <f t="shared" si="20"/>
        <v>-1.7390842702663489</v>
      </c>
      <c r="AD46">
        <f t="shared" si="25"/>
        <v>0</v>
      </c>
      <c r="AE46">
        <f t="shared" si="26"/>
        <v>0</v>
      </c>
    </row>
    <row r="47" spans="1:31" x14ac:dyDescent="0.2">
      <c r="A47" s="373">
        <v>22.909000000000002</v>
      </c>
      <c r="B47" s="390">
        <f t="shared" si="22"/>
        <v>2.2909000000000002E-2</v>
      </c>
      <c r="C47" s="363">
        <f t="shared" si="0"/>
        <v>1.0005224736082554</v>
      </c>
      <c r="D47" s="364">
        <f t="shared" si="1"/>
        <v>3.2318608491233566E-2</v>
      </c>
      <c r="E47" s="364">
        <f t="shared" si="2"/>
        <v>1.0000000149177901</v>
      </c>
      <c r="F47" s="365">
        <f t="shared" si="3"/>
        <v>1.7272978872740887E-4</v>
      </c>
      <c r="G47" s="364">
        <f t="shared" si="4"/>
        <v>1.0000002322976793</v>
      </c>
      <c r="H47" s="365">
        <f t="shared" si="5"/>
        <v>-6.8161225697239676E-4</v>
      </c>
      <c r="I47" s="363">
        <f t="shared" si="6"/>
        <v>95.036048980575501</v>
      </c>
      <c r="J47" s="366">
        <f t="shared" si="7"/>
        <v>1.5602738096568234</v>
      </c>
      <c r="K47" s="374">
        <f t="shared" si="8"/>
        <v>1.0004321727178684</v>
      </c>
      <c r="L47" s="375">
        <f t="shared" si="9"/>
        <v>2.9394459711473843E-2</v>
      </c>
      <c r="M47" s="363">
        <f t="shared" si="10"/>
        <v>1.000000417249854</v>
      </c>
      <c r="N47" s="366">
        <f t="shared" si="11"/>
        <v>9.1350939681809191E-4</v>
      </c>
      <c r="O47" s="367">
        <f t="shared" si="12"/>
        <v>1.00000006863071</v>
      </c>
      <c r="P47" s="368">
        <f t="shared" si="13"/>
        <v>4.5214893728403254E-4</v>
      </c>
      <c r="Q47" s="369">
        <f t="shared" si="14"/>
        <v>50.428492648786246</v>
      </c>
      <c r="R47" s="370">
        <f t="shared" si="15"/>
        <v>-89.672048940847688</v>
      </c>
      <c r="S47" s="392">
        <f t="shared" si="16"/>
        <v>90.327951059152312</v>
      </c>
      <c r="U47" s="345">
        <f t="shared" si="23"/>
        <v>1000000000</v>
      </c>
      <c r="V47" s="345">
        <f t="shared" si="24"/>
        <v>524.82228100000009</v>
      </c>
      <c r="X47" s="371">
        <f t="shared" si="17"/>
        <v>48.542656247912575</v>
      </c>
      <c r="Y47" s="372">
        <f t="shared" si="18"/>
        <v>-87.765266028869178</v>
      </c>
      <c r="AA47" s="371">
        <f t="shared" si="19"/>
        <v>59.387061668707666</v>
      </c>
      <c r="AB47" s="372">
        <f t="shared" si="20"/>
        <v>-1.906782911978504</v>
      </c>
      <c r="AD47">
        <f t="shared" si="25"/>
        <v>0</v>
      </c>
      <c r="AE47">
        <f t="shared" si="26"/>
        <v>0</v>
      </c>
    </row>
    <row r="48" spans="1:31" x14ac:dyDescent="0.2">
      <c r="A48" s="373">
        <v>25.119</v>
      </c>
      <c r="B48" s="390">
        <f t="shared" si="22"/>
        <v>2.5118999999999999E-2</v>
      </c>
      <c r="C48" s="363">
        <f t="shared" si="0"/>
        <v>1.0006281073185372</v>
      </c>
      <c r="D48" s="364">
        <f t="shared" si="1"/>
        <v>3.5433846220376784E-2</v>
      </c>
      <c r="E48" s="364">
        <f t="shared" si="2"/>
        <v>1.0000000179348159</v>
      </c>
      <c r="F48" s="365">
        <f t="shared" si="3"/>
        <v>1.8939279559635676E-4</v>
      </c>
      <c r="G48" s="364">
        <f t="shared" si="4"/>
        <v>1.000000279278362</v>
      </c>
      <c r="H48" s="365">
        <f t="shared" si="5"/>
        <v>-7.4736643880741755E-4</v>
      </c>
      <c r="I48" s="363">
        <f t="shared" si="6"/>
        <v>104.20307664577349</v>
      </c>
      <c r="J48" s="366">
        <f t="shared" si="7"/>
        <v>1.5611995338585087</v>
      </c>
      <c r="K48" s="374">
        <f t="shared" si="8"/>
        <v>1.000519554133809</v>
      </c>
      <c r="L48" s="375">
        <f t="shared" si="9"/>
        <v>3.2228226336963074E-2</v>
      </c>
      <c r="M48" s="363">
        <f t="shared" si="10"/>
        <v>1.0000005016358919</v>
      </c>
      <c r="N48" s="366">
        <f t="shared" si="11"/>
        <v>1.0016343466658464E-3</v>
      </c>
      <c r="O48" s="367">
        <f t="shared" si="12"/>
        <v>1.0000000825108226</v>
      </c>
      <c r="P48" s="368">
        <f t="shared" si="13"/>
        <v>4.9576712542054638E-4</v>
      </c>
      <c r="Q48" s="369">
        <f t="shared" si="14"/>
        <v>49.628490474464783</v>
      </c>
      <c r="R48" s="370">
        <f t="shared" si="15"/>
        <v>-89.751577179905723</v>
      </c>
      <c r="S48" s="392">
        <f t="shared" si="16"/>
        <v>90.248422820094277</v>
      </c>
      <c r="U48" s="345">
        <f t="shared" si="23"/>
        <v>1000000000</v>
      </c>
      <c r="V48" s="345">
        <f t="shared" si="24"/>
        <v>630.96416099999999</v>
      </c>
      <c r="X48" s="371">
        <f t="shared" si="17"/>
        <v>47.743570755089578</v>
      </c>
      <c r="Y48" s="372">
        <f t="shared" si="18"/>
        <v>-87.660992438430242</v>
      </c>
      <c r="AA48" s="371">
        <f t="shared" si="19"/>
        <v>59.3861449872092</v>
      </c>
      <c r="AB48" s="372">
        <f t="shared" si="20"/>
        <v>-2.0905847414754772</v>
      </c>
      <c r="AD48">
        <f t="shared" si="25"/>
        <v>0</v>
      </c>
      <c r="AE48">
        <f t="shared" si="26"/>
        <v>0</v>
      </c>
    </row>
    <row r="49" spans="1:31" x14ac:dyDescent="0.2">
      <c r="A49" s="373">
        <v>27.542000000000002</v>
      </c>
      <c r="B49" s="390">
        <f t="shared" si="22"/>
        <v>2.7542000000000001E-2</v>
      </c>
      <c r="C49" s="363">
        <f t="shared" si="0"/>
        <v>1.0007550792707114</v>
      </c>
      <c r="D49" s="364">
        <f t="shared" si="1"/>
        <v>3.8848538094998768E-2</v>
      </c>
      <c r="E49" s="364">
        <f t="shared" si="2"/>
        <v>1.0000000215617086</v>
      </c>
      <c r="F49" s="365">
        <f t="shared" si="3"/>
        <v>2.0766178445409138E-4</v>
      </c>
      <c r="G49" s="364">
        <f t="shared" si="4"/>
        <v>1.0000003357558067</v>
      </c>
      <c r="H49" s="365">
        <f t="shared" si="5"/>
        <v>-8.1945800719034198E-4</v>
      </c>
      <c r="I49" s="363">
        <f t="shared" si="6"/>
        <v>114.25370862865647</v>
      </c>
      <c r="J49" s="366">
        <f t="shared" si="7"/>
        <v>1.5620437639239868</v>
      </c>
      <c r="K49" s="374">
        <f t="shared" si="8"/>
        <v>1.0006245888962109</v>
      </c>
      <c r="L49" s="375">
        <f t="shared" si="9"/>
        <v>3.5334515042499334E-2</v>
      </c>
      <c r="M49" s="363">
        <f t="shared" si="10"/>
        <v>1.0000006030798756</v>
      </c>
      <c r="N49" s="366">
        <f t="shared" si="11"/>
        <v>1.0982527692257075E-3</v>
      </c>
      <c r="O49" s="367">
        <f t="shared" si="12"/>
        <v>1.0000000991966875</v>
      </c>
      <c r="P49" s="368">
        <f t="shared" si="13"/>
        <v>5.435892373745223E-4</v>
      </c>
      <c r="Q49" s="369">
        <f t="shared" si="14"/>
        <v>48.828504385315341</v>
      </c>
      <c r="R49" s="370">
        <f t="shared" si="15"/>
        <v>-89.828977839328743</v>
      </c>
      <c r="S49" s="392">
        <f t="shared" si="16"/>
        <v>90.171022160671257</v>
      </c>
      <c r="U49" s="345">
        <f t="shared" si="23"/>
        <v>1000000000</v>
      </c>
      <c r="V49" s="345">
        <f t="shared" si="24"/>
        <v>758.56176400000004</v>
      </c>
      <c r="X49" s="371">
        <f t="shared" si="17"/>
        <v>46.944686390970951</v>
      </c>
      <c r="Y49" s="372">
        <f t="shared" si="18"/>
        <v>-87.536921853037938</v>
      </c>
      <c r="AA49" s="371">
        <f t="shared" si="19"/>
        <v>59.385043262178392</v>
      </c>
      <c r="AB49" s="372">
        <f t="shared" si="20"/>
        <v>-2.2920559862908121</v>
      </c>
      <c r="AD49">
        <f t="shared" si="25"/>
        <v>0</v>
      </c>
      <c r="AE49">
        <f t="shared" si="26"/>
        <v>0</v>
      </c>
    </row>
    <row r="50" spans="1:31" x14ac:dyDescent="0.2">
      <c r="A50" s="373">
        <v>30.2</v>
      </c>
      <c r="B50" s="390">
        <f t="shared" si="22"/>
        <v>3.0199999999999998E-2</v>
      </c>
      <c r="C50" s="363">
        <f t="shared" si="0"/>
        <v>1.0009077836159388</v>
      </c>
      <c r="D50" s="364">
        <f t="shared" si="1"/>
        <v>4.2593366187106733E-2</v>
      </c>
      <c r="E50" s="364">
        <f t="shared" si="2"/>
        <v>1.0000000259242448</v>
      </c>
      <c r="F50" s="365">
        <f t="shared" si="3"/>
        <v>2.2770263133665419E-4</v>
      </c>
      <c r="G50" s="364">
        <f t="shared" si="4"/>
        <v>1.0000004036885723</v>
      </c>
      <c r="H50" s="365">
        <f t="shared" si="5"/>
        <v>-8.9854152553791558E-4</v>
      </c>
      <c r="I50" s="363">
        <f t="shared" si="6"/>
        <v>125.27920122973651</v>
      </c>
      <c r="J50" s="366">
        <f t="shared" si="7"/>
        <v>1.5628140710839413</v>
      </c>
      <c r="K50" s="374">
        <f t="shared" si="8"/>
        <v>1.0007509132638834</v>
      </c>
      <c r="L50" s="375">
        <f t="shared" si="9"/>
        <v>3.8741287343327463E-2</v>
      </c>
      <c r="M50" s="363">
        <f t="shared" si="10"/>
        <v>1.0000007250997378</v>
      </c>
      <c r="N50" s="366">
        <f t="shared" si="11"/>
        <v>1.2042419189810811E-3</v>
      </c>
      <c r="O50" s="367">
        <f t="shared" si="12"/>
        <v>1.0000001192669477</v>
      </c>
      <c r="P50" s="368">
        <f t="shared" si="13"/>
        <v>5.9604948089488682E-4</v>
      </c>
      <c r="Q50" s="369">
        <f t="shared" si="14"/>
        <v>48.028101599203588</v>
      </c>
      <c r="R50" s="370">
        <f t="shared" si="15"/>
        <v>-89.904943736077172</v>
      </c>
      <c r="S50" s="392">
        <f t="shared" si="16"/>
        <v>90.095056263922828</v>
      </c>
      <c r="U50" s="345">
        <f t="shared" si="23"/>
        <v>1000000000</v>
      </c>
      <c r="V50" s="345">
        <f t="shared" si="24"/>
        <v>912.04</v>
      </c>
      <c r="X50" s="371">
        <f t="shared" si="17"/>
        <v>46.145608422458757</v>
      </c>
      <c r="Y50" s="372">
        <f t="shared" si="18"/>
        <v>-87.391936258421993</v>
      </c>
      <c r="AA50" s="371">
        <f t="shared" si="19"/>
        <v>59.383718444578832</v>
      </c>
      <c r="AB50" s="372">
        <f t="shared" si="20"/>
        <v>-2.5130074776551687</v>
      </c>
      <c r="AD50">
        <f t="shared" si="25"/>
        <v>0</v>
      </c>
      <c r="AE50">
        <f t="shared" si="26"/>
        <v>0</v>
      </c>
    </row>
    <row r="51" spans="1:31" x14ac:dyDescent="0.2">
      <c r="A51" s="373">
        <v>33.113</v>
      </c>
      <c r="B51" s="390">
        <f t="shared" si="22"/>
        <v>3.3112999999999997E-2</v>
      </c>
      <c r="C51" s="363">
        <f t="shared" si="0"/>
        <v>1.0010912536073719</v>
      </c>
      <c r="D51" s="364">
        <f t="shared" si="1"/>
        <v>4.6696084815665159E-2</v>
      </c>
      <c r="E51" s="364">
        <f t="shared" si="2"/>
        <v>1.0000000311665898</v>
      </c>
      <c r="F51" s="365">
        <f t="shared" si="3"/>
        <v>2.4966613261918539E-4</v>
      </c>
      <c r="G51" s="364">
        <f t="shared" si="4"/>
        <v>1.0000004853215883</v>
      </c>
      <c r="H51" s="365">
        <f t="shared" si="5"/>
        <v>-9.8521205019527899E-4</v>
      </c>
      <c r="I51" s="363">
        <f t="shared" si="6"/>
        <v>137.36251526344765</v>
      </c>
      <c r="J51" s="366">
        <f t="shared" si="7"/>
        <v>1.5635162560173987</v>
      </c>
      <c r="K51" s="374">
        <f t="shared" si="8"/>
        <v>1.0009026928510736</v>
      </c>
      <c r="L51" s="375">
        <f t="shared" si="9"/>
        <v>4.2473858511101192E-2</v>
      </c>
      <c r="M51" s="363">
        <f t="shared" si="10"/>
        <v>1.0000008717277848</v>
      </c>
      <c r="N51" s="366">
        <f t="shared" si="11"/>
        <v>1.3203992968628109E-3</v>
      </c>
      <c r="O51" s="367">
        <f t="shared" si="12"/>
        <v>1.0000001433848524</v>
      </c>
      <c r="P51" s="368">
        <f t="shared" si="13"/>
        <v>6.5354259010545919E-4</v>
      </c>
      <c r="Q51" s="369">
        <f t="shared" si="14"/>
        <v>47.228040934398265</v>
      </c>
      <c r="R51" s="370">
        <f t="shared" si="15"/>
        <v>-89.980040735953239</v>
      </c>
      <c r="S51" s="392">
        <f t="shared" si="16"/>
        <v>90.019959264046761</v>
      </c>
      <c r="U51" s="345">
        <f t="shared" si="23"/>
        <v>1000000000</v>
      </c>
      <c r="V51" s="345">
        <f t="shared" si="24"/>
        <v>1096.470769</v>
      </c>
      <c r="X51" s="371">
        <f t="shared" si="17"/>
        <v>45.347139221408838</v>
      </c>
      <c r="Y51" s="372">
        <f t="shared" si="18"/>
        <v>-87.22496324422228</v>
      </c>
      <c r="AA51" s="371">
        <f t="shared" si="19"/>
        <v>59.382126980823422</v>
      </c>
      <c r="AB51" s="372">
        <f t="shared" si="20"/>
        <v>-2.755077491730956</v>
      </c>
      <c r="AD51">
        <f t="shared" si="25"/>
        <v>0</v>
      </c>
      <c r="AE51">
        <f t="shared" si="26"/>
        <v>0</v>
      </c>
    </row>
    <row r="52" spans="1:31" x14ac:dyDescent="0.2">
      <c r="A52" s="373">
        <v>36.308</v>
      </c>
      <c r="B52" s="390">
        <f t="shared" si="22"/>
        <v>3.6308E-2</v>
      </c>
      <c r="C52" s="363">
        <f t="shared" si="0"/>
        <v>1.0013118537277894</v>
      </c>
      <c r="D52" s="364">
        <f t="shared" si="1"/>
        <v>5.1194163688729956E-2</v>
      </c>
      <c r="E52" s="364">
        <f t="shared" si="2"/>
        <v>1.0000000374711375</v>
      </c>
      <c r="F52" s="365">
        <f t="shared" si="3"/>
        <v>2.7375586340825097E-4</v>
      </c>
      <c r="G52" s="364">
        <f t="shared" si="4"/>
        <v>1.0000005834950607</v>
      </c>
      <c r="H52" s="365">
        <f t="shared" si="5"/>
        <v>-1.0802729072361451E-3</v>
      </c>
      <c r="I52" s="363">
        <f t="shared" si="6"/>
        <v>150.6156484735605</v>
      </c>
      <c r="J52" s="366">
        <f t="shared" si="7"/>
        <v>1.5641568616579378</v>
      </c>
      <c r="K52" s="374">
        <f t="shared" si="8"/>
        <v>1.0010851955097524</v>
      </c>
      <c r="L52" s="375">
        <f t="shared" si="9"/>
        <v>4.656640512791043E-2</v>
      </c>
      <c r="M52" s="363">
        <f t="shared" si="10"/>
        <v>1.0000010480655492</v>
      </c>
      <c r="N52" s="366">
        <f t="shared" si="11"/>
        <v>1.4478015291462551E-3</v>
      </c>
      <c r="O52" s="367">
        <f t="shared" si="12"/>
        <v>1.0000001723895213</v>
      </c>
      <c r="P52" s="368">
        <f t="shared" si="13"/>
        <v>7.1660145607454595E-4</v>
      </c>
      <c r="Q52" s="369">
        <f t="shared" si="14"/>
        <v>46.427672646745947</v>
      </c>
      <c r="R52" s="370">
        <f t="shared" si="15"/>
        <v>-90.054958985406657</v>
      </c>
      <c r="S52" s="392">
        <f t="shared" si="16"/>
        <v>89.945041014593343</v>
      </c>
      <c r="U52" s="345">
        <f t="shared" si="23"/>
        <v>1000000000</v>
      </c>
      <c r="V52" s="345">
        <f t="shared" si="24"/>
        <v>1318.2708640000001</v>
      </c>
      <c r="X52" s="371">
        <f t="shared" si="17"/>
        <v>44.548684086967647</v>
      </c>
      <c r="Y52" s="372">
        <f t="shared" si="18"/>
        <v>-87.034481205146449</v>
      </c>
      <c r="AA52" s="371">
        <f t="shared" si="19"/>
        <v>59.380213827612295</v>
      </c>
      <c r="AB52" s="372">
        <f t="shared" si="20"/>
        <v>-3.0204777802602223</v>
      </c>
      <c r="AD52">
        <f t="shared" si="25"/>
        <v>0</v>
      </c>
      <c r="AE52">
        <f t="shared" si="26"/>
        <v>0</v>
      </c>
    </row>
    <row r="53" spans="1:31" x14ac:dyDescent="0.2">
      <c r="A53" s="373">
        <v>39.811</v>
      </c>
      <c r="B53" s="390">
        <f t="shared" si="22"/>
        <v>3.9810999999999999E-2</v>
      </c>
      <c r="C53" s="363">
        <f t="shared" si="0"/>
        <v>1.0015769916762343</v>
      </c>
      <c r="D53" s="364">
        <f t="shared" si="1"/>
        <v>5.612347177979201E-2</v>
      </c>
      <c r="E53" s="364">
        <f t="shared" si="2"/>
        <v>1.0000000450503734</v>
      </c>
      <c r="F53" s="365">
        <f t="shared" si="3"/>
        <v>3.0016785895884394E-4</v>
      </c>
      <c r="G53" s="364">
        <f t="shared" si="4"/>
        <v>1.0000007015177728</v>
      </c>
      <c r="H53" s="365">
        <f t="shared" si="5"/>
        <v>-1.1844976679005032E-3</v>
      </c>
      <c r="I53" s="363">
        <f t="shared" si="6"/>
        <v>165.14645110452858</v>
      </c>
      <c r="J53" s="366">
        <f t="shared" si="7"/>
        <v>1.5647410582475914</v>
      </c>
      <c r="K53" s="374">
        <f t="shared" si="8"/>
        <v>1.0013045535269012</v>
      </c>
      <c r="L53" s="375">
        <f t="shared" si="9"/>
        <v>5.1051677490729391E-2</v>
      </c>
      <c r="M53" s="363">
        <f t="shared" si="10"/>
        <v>1.0000012600562107</v>
      </c>
      <c r="N53" s="366">
        <f t="shared" si="11"/>
        <v>1.5874853622060401E-3</v>
      </c>
      <c r="O53" s="367">
        <f t="shared" si="12"/>
        <v>1.000000207258513</v>
      </c>
      <c r="P53" s="368">
        <f t="shared" si="13"/>
        <v>7.8573923286577466E-4</v>
      </c>
      <c r="Q53" s="369">
        <f t="shared" si="14"/>
        <v>45.627292013408109</v>
      </c>
      <c r="R53" s="370">
        <f t="shared" si="15"/>
        <v>-90.130295297616044</v>
      </c>
      <c r="S53" s="392">
        <f t="shared" si="16"/>
        <v>89.869704702383956</v>
      </c>
      <c r="U53" s="345">
        <f t="shared" si="23"/>
        <v>1000000000</v>
      </c>
      <c r="V53" s="345">
        <f t="shared" si="24"/>
        <v>1584.9157210000001</v>
      </c>
      <c r="X53" s="371">
        <f t="shared" si="17"/>
        <v>43.750602302858113</v>
      </c>
      <c r="Y53" s="372">
        <f t="shared" si="18"/>
        <v>-86.81896932163761</v>
      </c>
      <c r="AA53" s="371">
        <f t="shared" si="19"/>
        <v>59.377914978383984</v>
      </c>
      <c r="AB53" s="372">
        <f t="shared" si="20"/>
        <v>-3.3113259759784257</v>
      </c>
      <c r="AD53">
        <f t="shared" si="25"/>
        <v>0</v>
      </c>
      <c r="AE53">
        <f t="shared" si="26"/>
        <v>0</v>
      </c>
    </row>
    <row r="54" spans="1:31" x14ac:dyDescent="0.2">
      <c r="A54" s="373">
        <v>43.652000000000001</v>
      </c>
      <c r="B54" s="390">
        <f t="shared" si="22"/>
        <v>4.3652000000000003E-2</v>
      </c>
      <c r="C54" s="363">
        <f t="shared" si="0"/>
        <v>1.0018956684455309</v>
      </c>
      <c r="D54" s="364">
        <f t="shared" si="1"/>
        <v>6.1525257405377641E-2</v>
      </c>
      <c r="E54" s="364">
        <f t="shared" si="2"/>
        <v>1.0000000541627259</v>
      </c>
      <c r="F54" s="365">
        <f t="shared" si="3"/>
        <v>3.2912831377439561E-4</v>
      </c>
      <c r="G54" s="364">
        <f t="shared" si="4"/>
        <v>1.0000008434139254</v>
      </c>
      <c r="H54" s="365">
        <f t="shared" si="5"/>
        <v>-1.2987789130634729E-3</v>
      </c>
      <c r="I54" s="363">
        <f t="shared" si="6"/>
        <v>181.07936622276299</v>
      </c>
      <c r="J54" s="366">
        <f t="shared" si="7"/>
        <v>1.5652738583667114</v>
      </c>
      <c r="K54" s="374">
        <f t="shared" si="8"/>
        <v>1.0015682193558091</v>
      </c>
      <c r="L54" s="375">
        <f t="shared" si="9"/>
        <v>5.5967359559262485E-2</v>
      </c>
      <c r="M54" s="363">
        <f t="shared" si="10"/>
        <v>1.0000015149279691</v>
      </c>
      <c r="N54" s="366">
        <f t="shared" si="11"/>
        <v>1.7406470386697312E-3</v>
      </c>
      <c r="O54" s="367">
        <f t="shared" si="12"/>
        <v>1.0000002491807511</v>
      </c>
      <c r="P54" s="368">
        <f t="shared" si="13"/>
        <v>8.6154802112567853E-4</v>
      </c>
      <c r="Q54" s="369">
        <f t="shared" si="14"/>
        <v>44.826820033336318</v>
      </c>
      <c r="R54" s="370">
        <f t="shared" si="15"/>
        <v>-90.20668174053182</v>
      </c>
      <c r="S54" s="392">
        <f t="shared" si="16"/>
        <v>89.79331825946818</v>
      </c>
      <c r="U54" s="345">
        <f t="shared" si="23"/>
        <v>1000000000</v>
      </c>
      <c r="V54" s="345">
        <f t="shared" si="24"/>
        <v>1905.497104</v>
      </c>
      <c r="X54" s="371">
        <f t="shared" si="17"/>
        <v>42.952892568731727</v>
      </c>
      <c r="Y54" s="372">
        <f t="shared" si="18"/>
        <v>-86.576624201199778</v>
      </c>
      <c r="AA54" s="371">
        <f t="shared" si="19"/>
        <v>59.375152732438593</v>
      </c>
      <c r="AB54" s="372">
        <f t="shared" si="20"/>
        <v>-3.6300575393320424</v>
      </c>
      <c r="AD54">
        <f t="shared" si="25"/>
        <v>0</v>
      </c>
      <c r="AE54">
        <f t="shared" si="26"/>
        <v>0</v>
      </c>
    </row>
    <row r="55" spans="1:31" x14ac:dyDescent="0.2">
      <c r="A55" s="373">
        <v>47.863</v>
      </c>
      <c r="B55" s="390">
        <f t="shared" si="22"/>
        <v>4.7863000000000003E-2</v>
      </c>
      <c r="C55" s="363">
        <f t="shared" si="0"/>
        <v>1.0022786144726457</v>
      </c>
      <c r="D55" s="364">
        <f t="shared" si="1"/>
        <v>6.7443252181052807E-2</v>
      </c>
      <c r="E55" s="364">
        <f t="shared" si="2"/>
        <v>1.0000000651166501</v>
      </c>
      <c r="F55" s="365">
        <f t="shared" si="3"/>
        <v>3.6087850195054729E-4</v>
      </c>
      <c r="G55" s="364">
        <f t="shared" si="4"/>
        <v>1.0000010139867257</v>
      </c>
      <c r="H55" s="365">
        <f t="shared" si="5"/>
        <v>-1.4240687264508493E-3</v>
      </c>
      <c r="I55" s="363">
        <f t="shared" si="6"/>
        <v>198.54713354452844</v>
      </c>
      <c r="J55" s="366">
        <f t="shared" si="7"/>
        <v>1.5657597180558798</v>
      </c>
      <c r="K55" s="374">
        <f t="shared" si="8"/>
        <v>1.0018850792083116</v>
      </c>
      <c r="L55" s="375">
        <f t="shared" si="9"/>
        <v>6.1353446428446791E-2</v>
      </c>
      <c r="M55" s="363">
        <f t="shared" si="10"/>
        <v>1.0000018213082575</v>
      </c>
      <c r="N55" s="366">
        <f t="shared" si="11"/>
        <v>1.9085625445565339E-3</v>
      </c>
      <c r="O55" s="367">
        <f t="shared" si="12"/>
        <v>1.000000299575313</v>
      </c>
      <c r="P55" s="368">
        <f t="shared" si="13"/>
        <v>9.4465939450109383E-4</v>
      </c>
      <c r="Q55" s="369">
        <f t="shared" si="14"/>
        <v>44.026353564403571</v>
      </c>
      <c r="R55" s="370">
        <f t="shared" si="15"/>
        <v>-90.284737734845365</v>
      </c>
      <c r="S55" s="392">
        <f t="shared" si="16"/>
        <v>89.715262265154635</v>
      </c>
      <c r="U55" s="345">
        <f t="shared" si="23"/>
        <v>1000000000</v>
      </c>
      <c r="V55" s="345">
        <f t="shared" si="24"/>
        <v>2290.8667689999997</v>
      </c>
      <c r="X55" s="371">
        <f t="shared" si="17"/>
        <v>42.155744259923281</v>
      </c>
      <c r="Y55" s="372">
        <f t="shared" si="18"/>
        <v>-86.30548271462186</v>
      </c>
      <c r="AA55" s="371">
        <f t="shared" si="19"/>
        <v>59.371834572314299</v>
      </c>
      <c r="AB55" s="372">
        <f t="shared" si="20"/>
        <v>-3.9792550202235022</v>
      </c>
      <c r="AD55">
        <f t="shared" si="25"/>
        <v>0</v>
      </c>
      <c r="AE55">
        <f t="shared" si="26"/>
        <v>0</v>
      </c>
    </row>
    <row r="56" spans="1:31" x14ac:dyDescent="0.2">
      <c r="A56" s="373">
        <v>52.481000000000002</v>
      </c>
      <c r="B56" s="390">
        <f t="shared" si="22"/>
        <v>5.2481E-2</v>
      </c>
      <c r="C56" s="363">
        <f t="shared" si="0"/>
        <v>1.0027388950997398</v>
      </c>
      <c r="D56" s="364">
        <f t="shared" si="1"/>
        <v>7.3927780797222661E-2</v>
      </c>
      <c r="E56" s="364">
        <f t="shared" si="2"/>
        <v>1.0000000782882199</v>
      </c>
      <c r="F56" s="365">
        <f t="shared" si="3"/>
        <v>3.9569739662286354E-4</v>
      </c>
      <c r="G56" s="364">
        <f t="shared" si="4"/>
        <v>1.000001219092322</v>
      </c>
      <c r="H56" s="365">
        <f t="shared" si="5"/>
        <v>-1.5614679525650197E-3</v>
      </c>
      <c r="I56" s="363">
        <f t="shared" si="6"/>
        <v>217.70323381082352</v>
      </c>
      <c r="J56" s="366">
        <f t="shared" si="7"/>
        <v>1.5662029016119243</v>
      </c>
      <c r="K56" s="374">
        <f t="shared" si="8"/>
        <v>1.0022659553807609</v>
      </c>
      <c r="L56" s="375">
        <f t="shared" si="9"/>
        <v>6.7256001118014469E-2</v>
      </c>
      <c r="M56" s="363">
        <f t="shared" si="10"/>
        <v>1.0000021897157776</v>
      </c>
      <c r="N56" s="366">
        <f t="shared" si="11"/>
        <v>2.0927072331510597E-3</v>
      </c>
      <c r="O56" s="367">
        <f t="shared" si="12"/>
        <v>1.000000360172361</v>
      </c>
      <c r="P56" s="368">
        <f t="shared" si="13"/>
        <v>1.0358036096798919E-3</v>
      </c>
      <c r="Q56" s="369">
        <f t="shared" si="14"/>
        <v>43.225640013876912</v>
      </c>
      <c r="R56" s="370">
        <f t="shared" si="15"/>
        <v>-90.365125244414799</v>
      </c>
      <c r="S56" s="392">
        <f t="shared" si="16"/>
        <v>89.634874755585201</v>
      </c>
      <c r="U56" s="345">
        <f t="shared" si="23"/>
        <v>1000000000</v>
      </c>
      <c r="V56" s="345">
        <f t="shared" si="24"/>
        <v>2754.255361</v>
      </c>
      <c r="X56" s="371">
        <f t="shared" si="17"/>
        <v>41.359017281837396</v>
      </c>
      <c r="Y56" s="372">
        <f t="shared" si="18"/>
        <v>-86.003234503006283</v>
      </c>
      <c r="AA56" s="371">
        <f t="shared" si="19"/>
        <v>59.367847999873533</v>
      </c>
      <c r="AB56" s="372">
        <f t="shared" si="20"/>
        <v>-4.3618907414085157</v>
      </c>
      <c r="AD56">
        <f t="shared" si="25"/>
        <v>0</v>
      </c>
      <c r="AE56">
        <f t="shared" si="26"/>
        <v>0</v>
      </c>
    </row>
    <row r="57" spans="1:31" x14ac:dyDescent="0.2">
      <c r="A57" s="373">
        <v>57.544000000000004</v>
      </c>
      <c r="B57" s="390">
        <f t="shared" si="22"/>
        <v>5.7544000000000005E-2</v>
      </c>
      <c r="C57" s="363">
        <f t="shared" si="0"/>
        <v>1.0032919359722114</v>
      </c>
      <c r="D57" s="364">
        <f t="shared" si="1"/>
        <v>8.1030001431566481E-2</v>
      </c>
      <c r="E57" s="364">
        <f t="shared" si="2"/>
        <v>1.0000000941222513</v>
      </c>
      <c r="F57" s="365">
        <f t="shared" si="3"/>
        <v>4.3387151065919788E-4</v>
      </c>
      <c r="G57" s="364">
        <f t="shared" si="4"/>
        <v>1.0000014656572938</v>
      </c>
      <c r="H57" s="365">
        <f t="shared" si="5"/>
        <v>-1.7121071834123572E-3</v>
      </c>
      <c r="I57" s="363">
        <f t="shared" si="6"/>
        <v>238.70529626087705</v>
      </c>
      <c r="J57" s="366">
        <f t="shared" si="7"/>
        <v>1.56660704846434</v>
      </c>
      <c r="K57" s="374">
        <f t="shared" si="8"/>
        <v>1.0027236292289345</v>
      </c>
      <c r="L57" s="375">
        <f t="shared" si="9"/>
        <v>7.3721933854778099E-2</v>
      </c>
      <c r="M57" s="363">
        <f t="shared" si="10"/>
        <v>1.0000026325919114</v>
      </c>
      <c r="N57" s="366">
        <f t="shared" si="11"/>
        <v>2.2945963199940212E-3</v>
      </c>
      <c r="O57" s="367">
        <f t="shared" si="12"/>
        <v>1.0000004330183112</v>
      </c>
      <c r="P57" s="368">
        <f t="shared" si="13"/>
        <v>1.1357306592696347E-3</v>
      </c>
      <c r="Q57" s="369">
        <f t="shared" si="14"/>
        <v>42.424870518506907</v>
      </c>
      <c r="R57" s="370">
        <f t="shared" si="15"/>
        <v>-90.448474331885805</v>
      </c>
      <c r="S57" s="392">
        <f t="shared" si="16"/>
        <v>89.551525668114195</v>
      </c>
      <c r="U57" s="345">
        <f t="shared" si="23"/>
        <v>1000000000</v>
      </c>
      <c r="V57" s="345">
        <f t="shared" si="24"/>
        <v>3311.3119360000005</v>
      </c>
      <c r="X57" s="371">
        <f t="shared" si="17"/>
        <v>40.563035350678263</v>
      </c>
      <c r="Y57" s="372">
        <f t="shared" si="18"/>
        <v>-85.667487147743373</v>
      </c>
      <c r="AA57" s="371">
        <f t="shared" si="19"/>
        <v>59.363060435662646</v>
      </c>
      <c r="AB57" s="372">
        <f t="shared" si="20"/>
        <v>-4.7809871841424343</v>
      </c>
      <c r="AD57">
        <f t="shared" si="25"/>
        <v>0</v>
      </c>
      <c r="AE57">
        <f t="shared" si="26"/>
        <v>0</v>
      </c>
    </row>
    <row r="58" spans="1:31" x14ac:dyDescent="0.2">
      <c r="A58" s="373">
        <v>63.095999999999997</v>
      </c>
      <c r="B58" s="390">
        <f t="shared" si="22"/>
        <v>6.3095999999999999E-2</v>
      </c>
      <c r="C58" s="363">
        <f t="shared" si="0"/>
        <v>1.0039564974852075</v>
      </c>
      <c r="D58" s="364">
        <f t="shared" si="1"/>
        <v>8.8808743744448193E-2</v>
      </c>
      <c r="E58" s="364">
        <f t="shared" si="2"/>
        <v>1.0000001131607621</v>
      </c>
      <c r="F58" s="365">
        <f t="shared" si="3"/>
        <v>4.7573259573705141E-4</v>
      </c>
      <c r="G58" s="364">
        <f t="shared" si="4"/>
        <v>1.0000017621218251</v>
      </c>
      <c r="H58" s="365">
        <f t="shared" si="5"/>
        <v>-1.8772955215801497E-3</v>
      </c>
      <c r="I58" s="363">
        <f t="shared" si="6"/>
        <v>261.73583931182196</v>
      </c>
      <c r="J58" s="366">
        <f t="shared" si="7"/>
        <v>1.5669756714519576</v>
      </c>
      <c r="K58" s="374">
        <f t="shared" si="8"/>
        <v>1.003273650340947</v>
      </c>
      <c r="L58" s="375">
        <f t="shared" si="9"/>
        <v>8.0805254315698807E-2</v>
      </c>
      <c r="M58" s="363">
        <f t="shared" si="10"/>
        <v>1.0000031650967356</v>
      </c>
      <c r="N58" s="366">
        <f t="shared" si="11"/>
        <v>2.5159842556851963E-3</v>
      </c>
      <c r="O58" s="367">
        <f t="shared" si="12"/>
        <v>1.0000005206067666</v>
      </c>
      <c r="P58" s="368">
        <f t="shared" si="13"/>
        <v>1.2453089551791158E-3</v>
      </c>
      <c r="Q58" s="369">
        <f t="shared" si="14"/>
        <v>41.623856761857269</v>
      </c>
      <c r="R58" s="370">
        <f t="shared" si="15"/>
        <v>-90.53546870983881</v>
      </c>
      <c r="S58" s="392">
        <f t="shared" si="16"/>
        <v>89.46453129016119</v>
      </c>
      <c r="U58" s="345">
        <f t="shared" si="23"/>
        <v>1000000000</v>
      </c>
      <c r="V58" s="345">
        <f t="shared" si="24"/>
        <v>3981.1052159999995</v>
      </c>
      <c r="X58" s="371">
        <f t="shared" si="17"/>
        <v>39.767771078011322</v>
      </c>
      <c r="Y58" s="372">
        <f t="shared" si="18"/>
        <v>-85.29544791574105</v>
      </c>
      <c r="AA58" s="371">
        <f t="shared" si="19"/>
        <v>59.357310951679949</v>
      </c>
      <c r="AB58" s="372">
        <f t="shared" si="20"/>
        <v>-5.240020794097755</v>
      </c>
      <c r="AD58">
        <f t="shared" si="25"/>
        <v>0</v>
      </c>
      <c r="AE58">
        <f t="shared" si="26"/>
        <v>0</v>
      </c>
    </row>
    <row r="59" spans="1:31" x14ac:dyDescent="0.2">
      <c r="A59" s="373">
        <v>69.183000000000007</v>
      </c>
      <c r="B59" s="390">
        <f t="shared" si="22"/>
        <v>6.9183000000000008E-2</v>
      </c>
      <c r="C59" s="363">
        <f t="shared" si="0"/>
        <v>1.0047548086601965</v>
      </c>
      <c r="D59" s="364">
        <f t="shared" si="1"/>
        <v>9.732465891795157E-2</v>
      </c>
      <c r="E59" s="364">
        <f t="shared" si="2"/>
        <v>1.0000001360476309</v>
      </c>
      <c r="F59" s="365">
        <f t="shared" si="3"/>
        <v>5.2162748302109142E-4</v>
      </c>
      <c r="G59" s="364">
        <f t="shared" si="4"/>
        <v>1.0000021185122436</v>
      </c>
      <c r="H59" s="365">
        <f t="shared" si="5"/>
        <v>-2.0584015660516787E-3</v>
      </c>
      <c r="I59" s="363">
        <f t="shared" si="6"/>
        <v>286.98567798139453</v>
      </c>
      <c r="J59" s="366">
        <f t="shared" si="7"/>
        <v>1.5673118253010876</v>
      </c>
      <c r="K59" s="374">
        <f t="shared" si="8"/>
        <v>1.0039344513798389</v>
      </c>
      <c r="L59" s="375">
        <f t="shared" si="9"/>
        <v>8.8561782041070056E-2</v>
      </c>
      <c r="M59" s="363">
        <f t="shared" si="10"/>
        <v>1.0000038052393083</v>
      </c>
      <c r="N59" s="366">
        <f t="shared" si="11"/>
        <v>2.7587052186779774E-3</v>
      </c>
      <c r="O59" s="367">
        <f t="shared" si="12"/>
        <v>1.0000006258999494</v>
      </c>
      <c r="P59" s="368">
        <f t="shared" si="13"/>
        <v>1.365446381361968E-3</v>
      </c>
      <c r="Q59" s="369">
        <f t="shared" si="14"/>
        <v>40.822728054070019</v>
      </c>
      <c r="R59" s="370">
        <f t="shared" si="15"/>
        <v>-90.626775885469129</v>
      </c>
      <c r="S59" s="392">
        <f t="shared" si="16"/>
        <v>89.373224114530871</v>
      </c>
      <c r="U59" s="345">
        <f t="shared" si="23"/>
        <v>1000000000</v>
      </c>
      <c r="V59" s="345">
        <f t="shared" si="24"/>
        <v>4786.2874890000012</v>
      </c>
      <c r="X59" s="371">
        <f t="shared" si="17"/>
        <v>38.973543962255668</v>
      </c>
      <c r="Y59" s="372">
        <f t="shared" si="18"/>
        <v>-84.884198696532209</v>
      </c>
      <c r="AA59" s="371">
        <f t="shared" si="19"/>
        <v>59.35040935964836</v>
      </c>
      <c r="AB59" s="372">
        <f t="shared" si="20"/>
        <v>-5.7425771889369361</v>
      </c>
      <c r="AD59">
        <f t="shared" si="25"/>
        <v>0</v>
      </c>
      <c r="AE59">
        <f t="shared" si="26"/>
        <v>0</v>
      </c>
    </row>
    <row r="60" spans="1:31" x14ac:dyDescent="0.2">
      <c r="A60" s="373">
        <v>75.858000000000004</v>
      </c>
      <c r="B60" s="390">
        <f t="shared" si="22"/>
        <v>7.5858000000000009E-2</v>
      </c>
      <c r="C60" s="363">
        <f t="shared" si="0"/>
        <v>1.005713856507076</v>
      </c>
      <c r="D60" s="364">
        <f t="shared" si="1"/>
        <v>0.10664691002829174</v>
      </c>
      <c r="E60" s="364">
        <f t="shared" si="2"/>
        <v>1.0000001635667306</v>
      </c>
      <c r="F60" s="365">
        <f t="shared" si="3"/>
        <v>5.7195578221625549E-4</v>
      </c>
      <c r="G60" s="364">
        <f t="shared" si="4"/>
        <v>1.0000025470348124</v>
      </c>
      <c r="H60" s="365">
        <f t="shared" si="5"/>
        <v>-2.2570021737928344E-3</v>
      </c>
      <c r="I60" s="363">
        <f t="shared" si="6"/>
        <v>314.67466465200437</v>
      </c>
      <c r="J60" s="366">
        <f t="shared" si="7"/>
        <v>1.5676184361176388</v>
      </c>
      <c r="K60" s="374">
        <f t="shared" si="8"/>
        <v>1.004728421057477</v>
      </c>
      <c r="L60" s="375">
        <f t="shared" si="9"/>
        <v>9.7055286186722461E-2</v>
      </c>
      <c r="M60" s="363">
        <f t="shared" si="10"/>
        <v>1.0000045749442155</v>
      </c>
      <c r="N60" s="366">
        <f t="shared" si="11"/>
        <v>3.0248724844948302E-3</v>
      </c>
      <c r="O60" s="367">
        <f t="shared" si="12"/>
        <v>1.0000007525041359</v>
      </c>
      <c r="P60" s="368">
        <f t="shared" si="13"/>
        <v>1.4971889769775963E-3</v>
      </c>
      <c r="Q60" s="369">
        <f t="shared" si="14"/>
        <v>40.021272928023272</v>
      </c>
      <c r="R60" s="370">
        <f t="shared" si="15"/>
        <v>-90.72312102786664</v>
      </c>
      <c r="S60" s="392">
        <f t="shared" si="16"/>
        <v>89.27687897213336</v>
      </c>
      <c r="U60" s="345">
        <f t="shared" si="23"/>
        <v>1000000000</v>
      </c>
      <c r="V60" s="345">
        <f t="shared" si="24"/>
        <v>5754.4361640000006</v>
      </c>
      <c r="X60" s="371">
        <f t="shared" si="17"/>
        <v>38.180372783235114</v>
      </c>
      <c r="Y60" s="372">
        <f t="shared" si="18"/>
        <v>-84.430374521908178</v>
      </c>
      <c r="AA60" s="371">
        <f t="shared" si="19"/>
        <v>59.342125412622153</v>
      </c>
      <c r="AB60" s="372">
        <f t="shared" si="20"/>
        <v>-6.292746505958454</v>
      </c>
      <c r="AD60">
        <f t="shared" si="25"/>
        <v>0</v>
      </c>
      <c r="AE60">
        <f t="shared" si="26"/>
        <v>0</v>
      </c>
    </row>
    <row r="61" spans="1:31" x14ac:dyDescent="0.2">
      <c r="A61" s="373">
        <v>83.176000000000002</v>
      </c>
      <c r="B61" s="390">
        <f t="shared" si="22"/>
        <v>8.3176E-2</v>
      </c>
      <c r="C61" s="363">
        <f t="shared" si="0"/>
        <v>1.0068655181374513</v>
      </c>
      <c r="D61" s="364">
        <f t="shared" si="1"/>
        <v>0.11684577392957833</v>
      </c>
      <c r="E61" s="364">
        <f t="shared" si="2"/>
        <v>1.0000001966474192</v>
      </c>
      <c r="F61" s="365">
        <f t="shared" si="3"/>
        <v>6.2713218239941033E-4</v>
      </c>
      <c r="G61" s="364">
        <f t="shared" si="4"/>
        <v>1.0000030621612348</v>
      </c>
      <c r="H61" s="365">
        <f t="shared" si="5"/>
        <v>-2.4747336910845609E-3</v>
      </c>
      <c r="I61" s="363">
        <f t="shared" si="6"/>
        <v>345.03094827660203</v>
      </c>
      <c r="J61" s="366">
        <f t="shared" si="7"/>
        <v>1.5678980320041973</v>
      </c>
      <c r="K61" s="374">
        <f t="shared" si="8"/>
        <v>1.0056820217759002</v>
      </c>
      <c r="L61" s="375">
        <f t="shared" si="9"/>
        <v>0.10635080731493288</v>
      </c>
      <c r="M61" s="363">
        <f t="shared" si="10"/>
        <v>1.0000055002051356</v>
      </c>
      <c r="N61" s="366">
        <f t="shared" si="11"/>
        <v>3.3166790394664053E-3</v>
      </c>
      <c r="O61" s="367">
        <f t="shared" si="12"/>
        <v>1.0000009046949194</v>
      </c>
      <c r="P61" s="368">
        <f t="shared" si="13"/>
        <v>1.6416222521820685E-3</v>
      </c>
      <c r="Q61" s="369">
        <f t="shared" si="14"/>
        <v>39.219642153569829</v>
      </c>
      <c r="R61" s="370">
        <f t="shared" si="15"/>
        <v>-90.825206843876373</v>
      </c>
      <c r="S61" s="392">
        <f t="shared" si="16"/>
        <v>89.174793156123627</v>
      </c>
      <c r="U61" s="345">
        <f t="shared" si="23"/>
        <v>1000000000</v>
      </c>
      <c r="V61" s="345">
        <f t="shared" si="24"/>
        <v>6918.2469760000004</v>
      </c>
      <c r="X61" s="371">
        <f t="shared" si="17"/>
        <v>37.388679252164124</v>
      </c>
      <c r="Y61" s="372">
        <f t="shared" si="18"/>
        <v>-83.930519340619</v>
      </c>
      <c r="AA61" s="371">
        <f t="shared" si="19"/>
        <v>59.332188169239714</v>
      </c>
      <c r="AB61" s="372">
        <f t="shared" si="20"/>
        <v>-6.8946875032573676</v>
      </c>
      <c r="AD61">
        <f t="shared" si="25"/>
        <v>0</v>
      </c>
      <c r="AE61">
        <f t="shared" si="26"/>
        <v>0</v>
      </c>
    </row>
    <row r="62" spans="1:31" x14ac:dyDescent="0.2">
      <c r="A62" s="373">
        <v>91.201000000000008</v>
      </c>
      <c r="B62" s="390">
        <f t="shared" si="22"/>
        <v>9.1201000000000004E-2</v>
      </c>
      <c r="C62" s="363">
        <f t="shared" si="0"/>
        <v>1.0082485434766377</v>
      </c>
      <c r="D62" s="364">
        <f t="shared" si="1"/>
        <v>0.12800188276481808</v>
      </c>
      <c r="E62" s="364">
        <f t="shared" si="2"/>
        <v>1.0000002364239025</v>
      </c>
      <c r="F62" s="365">
        <f t="shared" si="3"/>
        <v>6.8763923067146075E-4</v>
      </c>
      <c r="G62" s="364">
        <f t="shared" si="4"/>
        <v>1.0000036815530124</v>
      </c>
      <c r="H62" s="365">
        <f t="shared" si="5"/>
        <v>-2.7135002183777189E-3</v>
      </c>
      <c r="I62" s="363">
        <f t="shared" si="6"/>
        <v>378.32001152113736</v>
      </c>
      <c r="J62" s="366">
        <f t="shared" si="7"/>
        <v>1.5681530588364883</v>
      </c>
      <c r="K62" s="374">
        <f t="shared" si="8"/>
        <v>1.0068274429965827</v>
      </c>
      <c r="L62" s="375">
        <f t="shared" si="9"/>
        <v>0.11652315642951774</v>
      </c>
      <c r="M62" s="363">
        <f t="shared" si="10"/>
        <v>1.0000066127451297</v>
      </c>
      <c r="N62" s="366">
        <f t="shared" si="11"/>
        <v>3.6366766943440429E-3</v>
      </c>
      <c r="O62" s="367">
        <f t="shared" si="12"/>
        <v>1.0000010876903107</v>
      </c>
      <c r="P62" s="368">
        <f t="shared" si="13"/>
        <v>1.8000093443511528E-3</v>
      </c>
      <c r="Q62" s="369">
        <f t="shared" si="14"/>
        <v>38.41757583183427</v>
      </c>
      <c r="R62" s="370">
        <f t="shared" si="15"/>
        <v>-90.933807027997148</v>
      </c>
      <c r="S62" s="392">
        <f t="shared" si="16"/>
        <v>89.066192972002852</v>
      </c>
      <c r="U62" s="345">
        <f t="shared" si="23"/>
        <v>1000000000</v>
      </c>
      <c r="V62" s="345">
        <f t="shared" si="24"/>
        <v>8317.6224010000005</v>
      </c>
      <c r="X62" s="371">
        <f t="shared" si="17"/>
        <v>36.598531501544464</v>
      </c>
      <c r="Y62" s="372">
        <f t="shared" si="18"/>
        <v>-83.380633144222756</v>
      </c>
      <c r="AA62" s="371">
        <f t="shared" si="19"/>
        <v>59.320269598123801</v>
      </c>
      <c r="AB62" s="372">
        <f t="shared" si="20"/>
        <v>-7.5531738837743925</v>
      </c>
      <c r="AD62">
        <f t="shared" si="25"/>
        <v>0</v>
      </c>
      <c r="AE62">
        <f t="shared" si="26"/>
        <v>0</v>
      </c>
    </row>
    <row r="63" spans="1:31" x14ac:dyDescent="0.2">
      <c r="A63" s="373">
        <v>100</v>
      </c>
      <c r="B63" s="390">
        <f t="shared" si="22"/>
        <v>0.1</v>
      </c>
      <c r="C63" s="363">
        <f t="shared" si="0"/>
        <v>1.0099087571701668</v>
      </c>
      <c r="D63" s="364">
        <f t="shared" si="1"/>
        <v>0.14019717201323692</v>
      </c>
      <c r="E63" s="364">
        <f t="shared" si="2"/>
        <v>1.0000002842445657</v>
      </c>
      <c r="F63" s="365">
        <f t="shared" si="3"/>
        <v>7.5398209312312623E-4</v>
      </c>
      <c r="G63" s="364">
        <f t="shared" si="4"/>
        <v>1.0000044262067502</v>
      </c>
      <c r="H63" s="365">
        <f t="shared" si="5"/>
        <v>-2.9752950859128053E-3</v>
      </c>
      <c r="I63" s="363">
        <f t="shared" si="6"/>
        <v>414.81978177058454</v>
      </c>
      <c r="J63" s="366">
        <f t="shared" si="7"/>
        <v>1.5683856390395983</v>
      </c>
      <c r="K63" s="374">
        <f t="shared" si="8"/>
        <v>1.0082027853746403</v>
      </c>
      <c r="L63" s="375">
        <f t="shared" si="9"/>
        <v>0.12764876551848789</v>
      </c>
      <c r="M63" s="363">
        <f t="shared" si="10"/>
        <v>1.0000079502776016</v>
      </c>
      <c r="N63" s="366">
        <f t="shared" si="11"/>
        <v>3.9875368160225124E-3</v>
      </c>
      <c r="O63" s="367">
        <f t="shared" si="12"/>
        <v>1.0000013076936742</v>
      </c>
      <c r="P63" s="368">
        <f t="shared" si="13"/>
        <v>1.9736725967363943E-3</v>
      </c>
      <c r="Q63" s="369">
        <f t="shared" si="14"/>
        <v>37.615132569206921</v>
      </c>
      <c r="R63" s="370">
        <f t="shared" si="15"/>
        <v>-91.04967260130978</v>
      </c>
      <c r="S63" s="392">
        <f t="shared" si="16"/>
        <v>88.95032739869022</v>
      </c>
      <c r="U63" s="345">
        <f t="shared" si="23"/>
        <v>1000000000</v>
      </c>
      <c r="V63" s="345">
        <f t="shared" si="24"/>
        <v>10000</v>
      </c>
      <c r="X63" s="371">
        <f t="shared" si="17"/>
        <v>35.810373962460119</v>
      </c>
      <c r="Y63" s="372">
        <f t="shared" si="18"/>
        <v>-82.776611366430302</v>
      </c>
      <c r="AA63" s="371">
        <f t="shared" si="19"/>
        <v>59.305983874580797</v>
      </c>
      <c r="AB63" s="372">
        <f t="shared" si="20"/>
        <v>-8.2730612348794921</v>
      </c>
      <c r="AD63">
        <f t="shared" si="25"/>
        <v>0</v>
      </c>
      <c r="AE63">
        <f t="shared" si="26"/>
        <v>0</v>
      </c>
    </row>
    <row r="64" spans="1:31" x14ac:dyDescent="0.2">
      <c r="A64" s="373">
        <v>109.65</v>
      </c>
      <c r="B64" s="390">
        <f t="shared" si="22"/>
        <v>0.10965000000000001</v>
      </c>
      <c r="C64" s="363">
        <f t="shared" si="0"/>
        <v>1.0119016194487724</v>
      </c>
      <c r="D64" s="364">
        <f t="shared" si="1"/>
        <v>0.1535237149594757</v>
      </c>
      <c r="E64" s="364">
        <f t="shared" si="2"/>
        <v>1.0000003417507135</v>
      </c>
      <c r="F64" s="365">
        <f t="shared" si="3"/>
        <v>8.2674133341437519E-4</v>
      </c>
      <c r="G64" s="364">
        <f t="shared" si="4"/>
        <v>1.0000053216802141</v>
      </c>
      <c r="H64" s="365">
        <f t="shared" si="5"/>
        <v>-3.2624091141092446E-3</v>
      </c>
      <c r="I64" s="363">
        <f t="shared" si="6"/>
        <v>454.84966831686751</v>
      </c>
      <c r="J64" s="366">
        <f t="shared" si="7"/>
        <v>1.5685977964336673</v>
      </c>
      <c r="K64" s="374">
        <f t="shared" si="8"/>
        <v>1.0098542058569229</v>
      </c>
      <c r="L64" s="375">
        <f t="shared" si="9"/>
        <v>0.13981387188330932</v>
      </c>
      <c r="M64" s="363">
        <f t="shared" si="10"/>
        <v>1.0000095587084641</v>
      </c>
      <c r="N64" s="366">
        <f t="shared" si="11"/>
        <v>4.3723294304032065E-3</v>
      </c>
      <c r="O64" s="367">
        <f t="shared" si="12"/>
        <v>1.0000015722559656</v>
      </c>
      <c r="P64" s="368">
        <f t="shared" si="13"/>
        <v>2.1641317140271075E-3</v>
      </c>
      <c r="Q64" s="369">
        <f t="shared" si="14"/>
        <v>36.812048760271466</v>
      </c>
      <c r="R64" s="370">
        <f t="shared" si="15"/>
        <v>-91.173614860059132</v>
      </c>
      <c r="S64" s="392">
        <f t="shared" si="16"/>
        <v>88.826385139940868</v>
      </c>
      <c r="U64" s="345">
        <f t="shared" si="23"/>
        <v>1000000000</v>
      </c>
      <c r="V64" s="345">
        <f t="shared" si="24"/>
        <v>12023.122500000001</v>
      </c>
      <c r="X64" s="371">
        <f t="shared" si="17"/>
        <v>35.024407231300444</v>
      </c>
      <c r="Y64" s="372">
        <f t="shared" si="18"/>
        <v>-82.113804829705401</v>
      </c>
      <c r="AA64" s="371">
        <f t="shared" si="19"/>
        <v>59.288866796805017</v>
      </c>
      <c r="AB64" s="372">
        <f t="shared" si="20"/>
        <v>-9.0598100303537379</v>
      </c>
      <c r="AD64">
        <f t="shared" si="25"/>
        <v>0</v>
      </c>
      <c r="AE64">
        <f t="shared" si="26"/>
        <v>0</v>
      </c>
    </row>
    <row r="65" spans="1:31" x14ac:dyDescent="0.2">
      <c r="A65" s="373">
        <v>120.23</v>
      </c>
      <c r="B65" s="390">
        <f t="shared" si="22"/>
        <v>0.12023</v>
      </c>
      <c r="C65" s="363">
        <f t="shared" si="0"/>
        <v>1.0142921890909415</v>
      </c>
      <c r="D65" s="364">
        <f t="shared" si="1"/>
        <v>0.16807151686219141</v>
      </c>
      <c r="E65" s="364">
        <f t="shared" si="2"/>
        <v>1.0000004108826823</v>
      </c>
      <c r="F65" s="365">
        <f t="shared" si="3"/>
        <v>9.065125940292527E-4</v>
      </c>
      <c r="G65" s="364">
        <f t="shared" si="4"/>
        <v>1.0000063981874876</v>
      </c>
      <c r="H65" s="365">
        <f t="shared" si="5"/>
        <v>-3.5771925790386329E-3</v>
      </c>
      <c r="I65" s="363">
        <f t="shared" si="6"/>
        <v>498.73737696977463</v>
      </c>
      <c r="J65" s="366">
        <f t="shared" si="7"/>
        <v>1.5687912621732645</v>
      </c>
      <c r="K65" s="374">
        <f t="shared" si="8"/>
        <v>1.0118359207789012</v>
      </c>
      <c r="L65" s="375">
        <f t="shared" si="9"/>
        <v>0.15310354004022392</v>
      </c>
      <c r="M65" s="363">
        <f t="shared" si="10"/>
        <v>1.0000114923069827</v>
      </c>
      <c r="N65" s="366">
        <f t="shared" si="11"/>
        <v>4.7942041931631312E-3</v>
      </c>
      <c r="O65" s="367">
        <f t="shared" si="12"/>
        <v>1.000001890303859</v>
      </c>
      <c r="P65" s="368">
        <f t="shared" si="13"/>
        <v>2.3729458669261346E-3</v>
      </c>
      <c r="Q65" s="369">
        <f t="shared" si="14"/>
        <v>36.008490951345337</v>
      </c>
      <c r="R65" s="370">
        <f t="shared" si="15"/>
        <v>-91.306386404761767</v>
      </c>
      <c r="S65" s="392">
        <f t="shared" si="16"/>
        <v>88.693613595238233</v>
      </c>
      <c r="U65" s="345">
        <f t="shared" si="23"/>
        <v>1000000000</v>
      </c>
      <c r="V65" s="345">
        <f t="shared" si="24"/>
        <v>14455.252900000001</v>
      </c>
      <c r="X65" s="371">
        <f t="shared" si="17"/>
        <v>34.241338036217243</v>
      </c>
      <c r="Y65" s="372">
        <f t="shared" si="18"/>
        <v>-81.387619346103534</v>
      </c>
      <c r="AA65" s="371">
        <f t="shared" si="19"/>
        <v>59.268378182962095</v>
      </c>
      <c r="AB65" s="372">
        <f t="shared" si="20"/>
        <v>-9.9187670586582382</v>
      </c>
      <c r="AD65">
        <f t="shared" si="25"/>
        <v>0</v>
      </c>
      <c r="AE65">
        <f t="shared" si="26"/>
        <v>0</v>
      </c>
    </row>
    <row r="66" spans="1:31" x14ac:dyDescent="0.2">
      <c r="A66" s="373">
        <v>131.83000000000001</v>
      </c>
      <c r="B66" s="390">
        <f t="shared" si="22"/>
        <v>0.13183</v>
      </c>
      <c r="C66" s="363">
        <f t="shared" si="0"/>
        <v>1.0171586836708351</v>
      </c>
      <c r="D66" s="364">
        <f t="shared" si="1"/>
        <v>0.18393951667113703</v>
      </c>
      <c r="E66" s="364">
        <f t="shared" si="2"/>
        <v>1.0000004939928113</v>
      </c>
      <c r="F66" s="365">
        <f t="shared" si="3"/>
        <v>9.939744543746487E-4</v>
      </c>
      <c r="G66" s="364">
        <f t="shared" si="4"/>
        <v>1.0000076923580552</v>
      </c>
      <c r="H66" s="365">
        <f t="shared" si="5"/>
        <v>-3.9223229711873092E-3</v>
      </c>
      <c r="I66" s="363">
        <f t="shared" si="6"/>
        <v>546.85624362039562</v>
      </c>
      <c r="J66" s="366">
        <f t="shared" si="7"/>
        <v>1.5689676916298345</v>
      </c>
      <c r="K66" s="374">
        <f t="shared" si="8"/>
        <v>1.0142132036623328</v>
      </c>
      <c r="L66" s="375">
        <f t="shared" si="9"/>
        <v>0.16761190022435396</v>
      </c>
      <c r="M66" s="363">
        <f t="shared" si="10"/>
        <v>1.0000138168652948</v>
      </c>
      <c r="N66" s="366">
        <f t="shared" si="11"/>
        <v>5.2567492252328244E-3</v>
      </c>
      <c r="O66" s="367">
        <f t="shared" si="12"/>
        <v>1.0000022726594742</v>
      </c>
      <c r="P66" s="368">
        <f t="shared" si="13"/>
        <v>2.6018913200492994E-3</v>
      </c>
      <c r="Q66" s="369">
        <f t="shared" si="14"/>
        <v>35.204324981934164</v>
      </c>
      <c r="R66" s="370">
        <f t="shared" si="15"/>
        <v>-91.44877948608908</v>
      </c>
      <c r="S66" s="392">
        <f t="shared" si="16"/>
        <v>88.55122051391092</v>
      </c>
      <c r="U66" s="345">
        <f t="shared" si="23"/>
        <v>1000000000</v>
      </c>
      <c r="V66" s="345">
        <f t="shared" si="24"/>
        <v>17379.148900000004</v>
      </c>
      <c r="X66" s="371">
        <f t="shared" si="17"/>
        <v>33.461676025819386</v>
      </c>
      <c r="Y66" s="372">
        <f t="shared" si="18"/>
        <v>-80.592962080404789</v>
      </c>
      <c r="AA66" s="371">
        <f t="shared" si="19"/>
        <v>59.243874223948779</v>
      </c>
      <c r="AB66" s="372">
        <f t="shared" si="20"/>
        <v>-10.855817405684284</v>
      </c>
      <c r="AD66">
        <f t="shared" si="25"/>
        <v>0</v>
      </c>
      <c r="AE66">
        <f t="shared" si="26"/>
        <v>0</v>
      </c>
    </row>
    <row r="67" spans="1:31" x14ac:dyDescent="0.2">
      <c r="A67" s="373">
        <v>144.54</v>
      </c>
      <c r="B67" s="390">
        <f t="shared" si="22"/>
        <v>0.14454</v>
      </c>
      <c r="C67" s="363">
        <f t="shared" si="0"/>
        <v>1.0205917404382605</v>
      </c>
      <c r="D67" s="364">
        <f t="shared" si="1"/>
        <v>0.20121873792451977</v>
      </c>
      <c r="E67" s="364">
        <f t="shared" si="2"/>
        <v>1.0000005938382996</v>
      </c>
      <c r="F67" s="365">
        <f t="shared" si="3"/>
        <v>1.0898054924689147E-3</v>
      </c>
      <c r="G67" s="364">
        <f t="shared" si="4"/>
        <v>1.0000092471254629</v>
      </c>
      <c r="H67" s="365">
        <f t="shared" si="5"/>
        <v>-4.3004776957231879E-3</v>
      </c>
      <c r="I67" s="363">
        <f t="shared" si="6"/>
        <v>599.57960428452395</v>
      </c>
      <c r="J67" s="366">
        <f t="shared" si="7"/>
        <v>1.5691284907703436</v>
      </c>
      <c r="K67" s="374">
        <f t="shared" si="8"/>
        <v>1.0170618375103586</v>
      </c>
      <c r="L67" s="375">
        <f t="shared" si="9"/>
        <v>0.18342698384213943</v>
      </c>
      <c r="M67" s="363">
        <f t="shared" si="10"/>
        <v>1.0000166094982696</v>
      </c>
      <c r="N67" s="366">
        <f t="shared" si="11"/>
        <v>5.7635524421675716E-3</v>
      </c>
      <c r="O67" s="367">
        <f t="shared" si="12"/>
        <v>1.0000027320075078</v>
      </c>
      <c r="P67" s="368">
        <f t="shared" si="13"/>
        <v>2.8527443253826166E-3</v>
      </c>
      <c r="Q67" s="369">
        <f t="shared" si="14"/>
        <v>34.399932793818458</v>
      </c>
      <c r="R67" s="370">
        <f t="shared" si="15"/>
        <v>-91.601467965057495</v>
      </c>
      <c r="S67" s="392">
        <f t="shared" si="16"/>
        <v>88.398532034942505</v>
      </c>
      <c r="U67" s="345">
        <f t="shared" si="23"/>
        <v>1000000000</v>
      </c>
      <c r="V67" s="345">
        <f t="shared" si="24"/>
        <v>20891.811599999997</v>
      </c>
      <c r="X67" s="371">
        <f t="shared" si="17"/>
        <v>32.686540219907634</v>
      </c>
      <c r="Y67" s="372">
        <f t="shared" si="18"/>
        <v>-79.725075332941998</v>
      </c>
      <c r="AA67" s="371">
        <f t="shared" si="19"/>
        <v>59.214617841744825</v>
      </c>
      <c r="AB67" s="372">
        <f t="shared" si="20"/>
        <v>-11.876392632115497</v>
      </c>
      <c r="AD67">
        <f t="shared" si="25"/>
        <v>0</v>
      </c>
      <c r="AE67">
        <f t="shared" si="26"/>
        <v>0</v>
      </c>
    </row>
    <row r="68" spans="1:31" x14ac:dyDescent="0.2">
      <c r="A68" s="373">
        <v>158.49</v>
      </c>
      <c r="B68" s="390">
        <f t="shared" si="22"/>
        <v>0.15849000000000002</v>
      </c>
      <c r="C68" s="363">
        <f t="shared" si="0"/>
        <v>1.0247079588112626</v>
      </c>
      <c r="D68" s="364">
        <f t="shared" si="1"/>
        <v>0.22004419221936722</v>
      </c>
      <c r="E68" s="364">
        <f t="shared" si="2"/>
        <v>1.0000007139960481</v>
      </c>
      <c r="F68" s="365">
        <f t="shared" si="3"/>
        <v>1.1949858770262845E-3</v>
      </c>
      <c r="G68" s="364">
        <f t="shared" si="4"/>
        <v>1.0000111181869884</v>
      </c>
      <c r="H68" s="365">
        <f t="shared" si="5"/>
        <v>-4.7155241442732587E-3</v>
      </c>
      <c r="I68" s="363">
        <f t="shared" si="6"/>
        <v>657.44672229610171</v>
      </c>
      <c r="J68" s="366">
        <f t="shared" si="7"/>
        <v>1.5692752904102303</v>
      </c>
      <c r="K68" s="374">
        <f t="shared" si="8"/>
        <v>1.0204794461585884</v>
      </c>
      <c r="L68" s="375">
        <f t="shared" si="9"/>
        <v>0.200678552306259</v>
      </c>
      <c r="M68" s="363">
        <f t="shared" si="10"/>
        <v>1.0000199702459689</v>
      </c>
      <c r="N68" s="366">
        <f t="shared" si="11"/>
        <v>6.3197964575272868E-3</v>
      </c>
      <c r="O68" s="367">
        <f t="shared" si="12"/>
        <v>1.0000032848037457</v>
      </c>
      <c r="P68" s="368">
        <f t="shared" si="13"/>
        <v>3.1280705844734529E-3</v>
      </c>
      <c r="Q68" s="369">
        <f t="shared" si="14"/>
        <v>33.593818688118759</v>
      </c>
      <c r="R68" s="370">
        <f t="shared" si="15"/>
        <v>-91.765455465356226</v>
      </c>
      <c r="S68" s="392">
        <f t="shared" si="16"/>
        <v>88.234544534643774</v>
      </c>
      <c r="U68" s="345">
        <f t="shared" si="23"/>
        <v>1000000000</v>
      </c>
      <c r="V68" s="345">
        <f t="shared" si="24"/>
        <v>25119.080100000003</v>
      </c>
      <c r="X68" s="371">
        <f t="shared" si="17"/>
        <v>31.915374821218006</v>
      </c>
      <c r="Y68" s="372">
        <f t="shared" si="18"/>
        <v>-78.776914703142594</v>
      </c>
      <c r="AA68" s="371">
        <f t="shared" si="19"/>
        <v>59.179669134734766</v>
      </c>
      <c r="AB68" s="372">
        <f t="shared" si="20"/>
        <v>-12.98854076221364</v>
      </c>
      <c r="AD68">
        <f t="shared" si="25"/>
        <v>0</v>
      </c>
      <c r="AE68">
        <f t="shared" si="26"/>
        <v>0</v>
      </c>
    </row>
    <row r="69" spans="1:31" x14ac:dyDescent="0.2">
      <c r="A69" s="373">
        <v>173.78</v>
      </c>
      <c r="B69" s="390">
        <f t="shared" si="22"/>
        <v>0.17377999999999999</v>
      </c>
      <c r="C69" s="363">
        <f t="shared" si="0"/>
        <v>1.029633132963413</v>
      </c>
      <c r="D69" s="364">
        <f t="shared" si="1"/>
        <v>0.24049699872870495</v>
      </c>
      <c r="E69" s="364">
        <f t="shared" si="2"/>
        <v>1.0000008584038</v>
      </c>
      <c r="F69" s="365">
        <f t="shared" si="3"/>
        <v>1.3102695798938972E-3</v>
      </c>
      <c r="G69" s="364">
        <f t="shared" si="4"/>
        <v>1.0000133668581865</v>
      </c>
      <c r="H69" s="365">
        <f t="shared" si="5"/>
        <v>-5.1704369823585995E-3</v>
      </c>
      <c r="I69" s="363">
        <f t="shared" si="6"/>
        <v>720.87241571766299</v>
      </c>
      <c r="J69" s="366">
        <f t="shared" si="7"/>
        <v>1.5694091183251022</v>
      </c>
      <c r="K69" s="374">
        <f t="shared" si="8"/>
        <v>1.0245717074411906</v>
      </c>
      <c r="L69" s="375">
        <f t="shared" si="9"/>
        <v>0.21944883543667762</v>
      </c>
      <c r="M69" s="363">
        <f t="shared" si="10"/>
        <v>1.0000240092388399</v>
      </c>
      <c r="N69" s="366">
        <f t="shared" si="11"/>
        <v>6.9294672926583844E-3</v>
      </c>
      <c r="O69" s="367">
        <f t="shared" si="12"/>
        <v>1.0000039491640282</v>
      </c>
      <c r="P69" s="368">
        <f t="shared" si="13"/>
        <v>3.4298436767234656E-3</v>
      </c>
      <c r="Q69" s="369">
        <f t="shared" si="14"/>
        <v>32.786955704894652</v>
      </c>
      <c r="R69" s="370">
        <f t="shared" si="15"/>
        <v>-91.941205935153832</v>
      </c>
      <c r="S69" s="392">
        <f t="shared" si="16"/>
        <v>88.058794064846168</v>
      </c>
      <c r="U69" s="345">
        <f t="shared" si="23"/>
        <v>1000000000</v>
      </c>
      <c r="V69" s="345">
        <f t="shared" si="24"/>
        <v>30199.488400000002</v>
      </c>
      <c r="X69" s="371">
        <f t="shared" si="17"/>
        <v>31.150144824896373</v>
      </c>
      <c r="Y69" s="372">
        <f t="shared" si="18"/>
        <v>-77.7440560387722</v>
      </c>
      <c r="AA69" s="371">
        <f t="shared" si="19"/>
        <v>59.138036147832281</v>
      </c>
      <c r="AB69" s="372">
        <f t="shared" si="20"/>
        <v>-14.197149896381619</v>
      </c>
      <c r="AD69">
        <f t="shared" si="25"/>
        <v>0</v>
      </c>
      <c r="AE69">
        <f t="shared" si="26"/>
        <v>0</v>
      </c>
    </row>
    <row r="70" spans="1:31" x14ac:dyDescent="0.2">
      <c r="A70" s="373">
        <v>190.55</v>
      </c>
      <c r="B70" s="390">
        <f t="shared" si="22"/>
        <v>0.19055000000000002</v>
      </c>
      <c r="C70" s="363">
        <f t="shared" si="0"/>
        <v>1.0355252336976268</v>
      </c>
      <c r="D70" s="364">
        <f t="shared" si="1"/>
        <v>0.26269548187460817</v>
      </c>
      <c r="E70" s="364">
        <f t="shared" si="2"/>
        <v>1.000001032071806</v>
      </c>
      <c r="F70" s="365">
        <f t="shared" si="3"/>
        <v>1.43671216217129E-3</v>
      </c>
      <c r="G70" s="364">
        <f t="shared" si="4"/>
        <v>1.0000160711544082</v>
      </c>
      <c r="H70" s="365">
        <f t="shared" si="5"/>
        <v>-5.66938077327189E-3</v>
      </c>
      <c r="I70" s="363">
        <f t="shared" si="6"/>
        <v>790.43742994136858</v>
      </c>
      <c r="J70" s="366">
        <f t="shared" si="7"/>
        <v>1.5695312041819276</v>
      </c>
      <c r="K70" s="374">
        <f t="shared" si="8"/>
        <v>1.0294716085165605</v>
      </c>
      <c r="L70" s="375">
        <f t="shared" si="9"/>
        <v>0.23985638837853465</v>
      </c>
      <c r="M70" s="363">
        <f t="shared" si="10"/>
        <v>1.0000288666015493</v>
      </c>
      <c r="N70" s="366">
        <f t="shared" si="11"/>
        <v>7.5981454534413354E-3</v>
      </c>
      <c r="O70" s="367">
        <f t="shared" si="12"/>
        <v>1.0000047481383083</v>
      </c>
      <c r="P70" s="368">
        <f t="shared" si="13"/>
        <v>3.760826617966318E-3</v>
      </c>
      <c r="Q70" s="369">
        <f t="shared" si="14"/>
        <v>31.97862653409787</v>
      </c>
      <c r="R70" s="370">
        <f t="shared" si="15"/>
        <v>-92.129432791005428</v>
      </c>
      <c r="S70" s="392">
        <f t="shared" si="16"/>
        <v>87.870567208994572</v>
      </c>
      <c r="U70" s="345">
        <f t="shared" si="23"/>
        <v>1000000000</v>
      </c>
      <c r="V70" s="345">
        <f t="shared" si="24"/>
        <v>36309.302500000005</v>
      </c>
      <c r="X70" s="371">
        <f t="shared" si="17"/>
        <v>30.391361132592447</v>
      </c>
      <c r="Y70" s="372">
        <f t="shared" si="18"/>
        <v>-76.620096824529469</v>
      </c>
      <c r="AA70" s="371">
        <f t="shared" si="19"/>
        <v>59.088490669339421</v>
      </c>
      <c r="AB70" s="372">
        <f t="shared" si="20"/>
        <v>-15.509335966475957</v>
      </c>
      <c r="AD70">
        <f t="shared" si="25"/>
        <v>0</v>
      </c>
      <c r="AE70">
        <f t="shared" si="26"/>
        <v>0</v>
      </c>
    </row>
    <row r="71" spans="1:31" x14ac:dyDescent="0.2">
      <c r="A71" s="373">
        <v>208.93</v>
      </c>
      <c r="B71" s="390">
        <f t="shared" si="22"/>
        <v>0.20893</v>
      </c>
      <c r="C71" s="363">
        <f t="shared" si="0"/>
        <v>1.0425619866589981</v>
      </c>
      <c r="D71" s="364">
        <f t="shared" si="1"/>
        <v>0.28672375114730819</v>
      </c>
      <c r="E71" s="364">
        <f t="shared" si="2"/>
        <v>1.0000012407765337</v>
      </c>
      <c r="F71" s="365">
        <f t="shared" si="3"/>
        <v>1.5752937826164813E-3</v>
      </c>
      <c r="G71" s="364">
        <f t="shared" si="4"/>
        <v>1.0000193210209021</v>
      </c>
      <c r="H71" s="365">
        <f t="shared" si="5"/>
        <v>-6.2162222969113995E-3</v>
      </c>
      <c r="I71" s="363">
        <f t="shared" si="6"/>
        <v>866.68102864080788</v>
      </c>
      <c r="J71" s="366">
        <f t="shared" si="7"/>
        <v>1.5696424995056868</v>
      </c>
      <c r="K71" s="374">
        <f t="shared" si="8"/>
        <v>1.0353293643556252</v>
      </c>
      <c r="L71" s="375">
        <f t="shared" si="9"/>
        <v>0.26199103138590019</v>
      </c>
      <c r="M71" s="363">
        <f t="shared" si="10"/>
        <v>1.0000347038847499</v>
      </c>
      <c r="N71" s="366">
        <f t="shared" si="11"/>
        <v>8.3310120809650702E-3</v>
      </c>
      <c r="O71" s="367">
        <f t="shared" si="12"/>
        <v>1.0000057083015161</v>
      </c>
      <c r="P71" s="368">
        <f t="shared" si="13"/>
        <v>4.1235850191909916E-3</v>
      </c>
      <c r="Q71" s="369">
        <f t="shared" si="14"/>
        <v>31.169220846922222</v>
      </c>
      <c r="R71" s="370">
        <f t="shared" si="15"/>
        <v>-92.33047259601851</v>
      </c>
      <c r="S71" s="372">
        <f t="shared" si="16"/>
        <v>87.66952740398149</v>
      </c>
      <c r="U71" s="345">
        <f t="shared" si="23"/>
        <v>1000000000</v>
      </c>
      <c r="V71" s="345">
        <f t="shared" si="24"/>
        <v>43651.744900000005</v>
      </c>
      <c r="X71" s="371">
        <f t="shared" si="17"/>
        <v>29.640757737196758</v>
      </c>
      <c r="Y71" s="372">
        <f t="shared" si="18"/>
        <v>-75.400242114818823</v>
      </c>
      <c r="AA71" s="371">
        <f t="shared" si="19"/>
        <v>59.029688377559467</v>
      </c>
      <c r="AB71" s="372">
        <f t="shared" si="20"/>
        <v>-16.930230481199697</v>
      </c>
      <c r="AD71">
        <f t="shared" si="25"/>
        <v>0</v>
      </c>
      <c r="AE71">
        <f t="shared" si="26"/>
        <v>0</v>
      </c>
    </row>
    <row r="72" spans="1:31" x14ac:dyDescent="0.2">
      <c r="A72" s="373">
        <v>229.09</v>
      </c>
      <c r="B72" s="390">
        <f t="shared" si="22"/>
        <v>0.22909000000000002</v>
      </c>
      <c r="C72" s="363">
        <f t="shared" si="0"/>
        <v>1.0509624253598291</v>
      </c>
      <c r="D72" s="364">
        <f t="shared" si="1"/>
        <v>0.31269232084234694</v>
      </c>
      <c r="E72" s="364">
        <f t="shared" si="2"/>
        <v>1.0000014917779125</v>
      </c>
      <c r="F72" s="365">
        <f t="shared" si="3"/>
        <v>1.7272961866242854E-3</v>
      </c>
      <c r="G72" s="364">
        <f t="shared" si="4"/>
        <v>1.0000232295008329</v>
      </c>
      <c r="H72" s="365">
        <f t="shared" si="5"/>
        <v>-6.8160180702537005E-3</v>
      </c>
      <c r="I72" s="363">
        <f t="shared" si="6"/>
        <v>950.30840287973592</v>
      </c>
      <c r="J72" s="366">
        <f t="shared" si="7"/>
        <v>1.5697440366314905</v>
      </c>
      <c r="K72" s="374">
        <f t="shared" si="8"/>
        <v>1.0423306677343223</v>
      </c>
      <c r="L72" s="375">
        <f t="shared" si="9"/>
        <v>0.28597011363199409</v>
      </c>
      <c r="M72" s="363">
        <f t="shared" si="10"/>
        <v>1.0000417241236654</v>
      </c>
      <c r="N72" s="366">
        <f t="shared" si="11"/>
        <v>9.1348424140823177E-3</v>
      </c>
      <c r="O72" s="367">
        <f t="shared" si="12"/>
        <v>1.0000068630532726</v>
      </c>
      <c r="P72" s="368">
        <f t="shared" si="13"/>
        <v>4.521473904028313E-3</v>
      </c>
      <c r="Q72" s="369">
        <f t="shared" si="14"/>
        <v>30.357914000068178</v>
      </c>
      <c r="R72" s="370">
        <f t="shared" si="15"/>
        <v>-92.544789588760011</v>
      </c>
      <c r="S72" s="372">
        <f t="shared" si="16"/>
        <v>87.455210411239989</v>
      </c>
      <c r="U72" s="345">
        <f t="shared" si="23"/>
        <v>1000000000</v>
      </c>
      <c r="V72" s="345">
        <f t="shared" si="24"/>
        <v>52482.2281</v>
      </c>
      <c r="X72" s="371">
        <f t="shared" si="17"/>
        <v>28.899130857923456</v>
      </c>
      <c r="Y72" s="372">
        <f t="shared" si="18"/>
        <v>-74.078215638314575</v>
      </c>
      <c r="AA72" s="371">
        <f t="shared" si="19"/>
        <v>58.96000840997872</v>
      </c>
      <c r="AB72" s="372">
        <f t="shared" si="20"/>
        <v>-18.466573950445429</v>
      </c>
      <c r="AD72">
        <f t="shared" si="25"/>
        <v>0</v>
      </c>
      <c r="AE72">
        <f t="shared" si="26"/>
        <v>0</v>
      </c>
    </row>
    <row r="73" spans="1:31" x14ac:dyDescent="0.2">
      <c r="A73" s="373">
        <v>251.19</v>
      </c>
      <c r="B73" s="390">
        <f t="shared" si="22"/>
        <v>0.25119000000000002</v>
      </c>
      <c r="C73" s="363">
        <f t="shared" si="0"/>
        <v>1.0609716846305544</v>
      </c>
      <c r="D73" s="364">
        <f t="shared" si="1"/>
        <v>0.34066639354079276</v>
      </c>
      <c r="E73" s="364">
        <f t="shared" si="2"/>
        <v>1.0000017934799859</v>
      </c>
      <c r="F73" s="365">
        <f t="shared" si="3"/>
        <v>1.8939257141299601E-3</v>
      </c>
      <c r="G73" s="364">
        <f t="shared" si="4"/>
        <v>1.0000279274501211</v>
      </c>
      <c r="H73" s="365">
        <f t="shared" si="5"/>
        <v>-7.473526635330633E-3</v>
      </c>
      <c r="I73" s="363">
        <f t="shared" si="6"/>
        <v>1041.9832619790466</v>
      </c>
      <c r="J73" s="366">
        <f t="shared" si="7"/>
        <v>1.5698366183331625</v>
      </c>
      <c r="K73" s="374">
        <f t="shared" si="8"/>
        <v>1.050684453302515</v>
      </c>
      <c r="L73" s="375">
        <f t="shared" si="9"/>
        <v>0.31187295912204505</v>
      </c>
      <c r="M73" s="363">
        <f t="shared" si="10"/>
        <v>1.0000501623436424</v>
      </c>
      <c r="N73" s="366">
        <f t="shared" si="11"/>
        <v>1.0016011865837282E-2</v>
      </c>
      <c r="O73" s="367">
        <f t="shared" si="12"/>
        <v>1.0000082510566366</v>
      </c>
      <c r="P73" s="368">
        <f t="shared" si="13"/>
        <v>4.9576508629047148E-3</v>
      </c>
      <c r="Q73" s="369">
        <f t="shared" si="14"/>
        <v>29.544952332199948</v>
      </c>
      <c r="R73" s="370">
        <f t="shared" si="15"/>
        <v>-92.772370393829846</v>
      </c>
      <c r="S73" s="372">
        <f t="shared" si="16"/>
        <v>87.227629606170154</v>
      </c>
      <c r="U73" s="345">
        <f t="shared" si="23"/>
        <v>1000000000</v>
      </c>
      <c r="V73" s="345">
        <f t="shared" si="24"/>
        <v>63096.416100000002</v>
      </c>
      <c r="X73" s="371">
        <f t="shared" si="17"/>
        <v>28.168469908477025</v>
      </c>
      <c r="Y73" s="372">
        <f t="shared" si="18"/>
        <v>-72.649883744110426</v>
      </c>
      <c r="AA73" s="371">
        <f t="shared" si="19"/>
        <v>58.877707691556928</v>
      </c>
      <c r="AB73" s="372">
        <f t="shared" si="20"/>
        <v>-20.122486649719423</v>
      </c>
      <c r="AD73">
        <f t="shared" si="25"/>
        <v>0</v>
      </c>
      <c r="AE73">
        <f t="shared" si="26"/>
        <v>0</v>
      </c>
    </row>
    <row r="74" spans="1:31" x14ac:dyDescent="0.2">
      <c r="A74" s="373">
        <v>275.42</v>
      </c>
      <c r="B74" s="390">
        <f t="shared" si="22"/>
        <v>0.27542</v>
      </c>
      <c r="C74" s="363">
        <f t="shared" si="0"/>
        <v>1.0728806404315405</v>
      </c>
      <c r="D74" s="364">
        <f t="shared" si="1"/>
        <v>0.37071063988246772</v>
      </c>
      <c r="E74" s="364">
        <f t="shared" si="2"/>
        <v>1.0000021561685737</v>
      </c>
      <c r="F74" s="365">
        <f t="shared" si="3"/>
        <v>2.076614889370239E-3</v>
      </c>
      <c r="G74" s="364">
        <f t="shared" si="4"/>
        <v>1.0000335750226672</v>
      </c>
      <c r="H74" s="365">
        <f t="shared" si="5"/>
        <v>-8.1943984882839049E-3</v>
      </c>
      <c r="I74" s="363">
        <f t="shared" si="6"/>
        <v>1142.4937608320638</v>
      </c>
      <c r="J74" s="366">
        <f t="shared" si="7"/>
        <v>1.5699210483802843</v>
      </c>
      <c r="K74" s="374">
        <f t="shared" si="8"/>
        <v>1.0606398023698156</v>
      </c>
      <c r="L74" s="375">
        <f t="shared" si="9"/>
        <v>0.33978258581081061</v>
      </c>
      <c r="M74" s="363">
        <f t="shared" si="10"/>
        <v>1.0000603061873314</v>
      </c>
      <c r="N74" s="366">
        <f t="shared" si="11"/>
        <v>1.0982090583364119E-2</v>
      </c>
      <c r="O74" s="367">
        <f t="shared" si="12"/>
        <v>1.0000099196317207</v>
      </c>
      <c r="P74" s="368">
        <f t="shared" si="13"/>
        <v>5.4358654941016596E-3</v>
      </c>
      <c r="Q74" s="369">
        <f t="shared" si="14"/>
        <v>28.730000038713925</v>
      </c>
      <c r="R74" s="370">
        <f t="shared" si="15"/>
        <v>-93.013100085747197</v>
      </c>
      <c r="S74" s="372">
        <f t="shared" si="16"/>
        <v>86.986899914252803</v>
      </c>
      <c r="U74" s="345">
        <f t="shared" si="23"/>
        <v>1000000000</v>
      </c>
      <c r="V74" s="345">
        <f t="shared" si="24"/>
        <v>75856.176400000011</v>
      </c>
      <c r="X74" s="371">
        <f t="shared" si="17"/>
        <v>27.450432209071231</v>
      </c>
      <c r="Y74" s="372">
        <f t="shared" si="18"/>
        <v>-71.110969643855896</v>
      </c>
      <c r="AA74" s="371">
        <f t="shared" si="19"/>
        <v>58.780793097476689</v>
      </c>
      <c r="AB74" s="372">
        <f t="shared" si="20"/>
        <v>-21.902130441891291</v>
      </c>
      <c r="AD74">
        <f t="shared" si="25"/>
        <v>0</v>
      </c>
      <c r="AE74">
        <f t="shared" si="26"/>
        <v>0</v>
      </c>
    </row>
    <row r="75" spans="1:31" x14ac:dyDescent="0.2">
      <c r="A75" s="373">
        <v>302</v>
      </c>
      <c r="B75" s="390">
        <f t="shared" si="22"/>
        <v>0.30199999999999999</v>
      </c>
      <c r="C75" s="363">
        <f t="shared" si="0"/>
        <v>1.0870322581676786</v>
      </c>
      <c r="D75" s="364">
        <f t="shared" si="1"/>
        <v>0.4028793617267547</v>
      </c>
      <c r="E75" s="364">
        <f t="shared" si="2"/>
        <v>1.0000025924211451</v>
      </c>
      <c r="F75" s="365">
        <f t="shared" si="3"/>
        <v>2.2770224173862983E-3</v>
      </c>
      <c r="G75" s="364">
        <f t="shared" si="4"/>
        <v>1.0000403680505947</v>
      </c>
      <c r="H75" s="365">
        <f t="shared" si="5"/>
        <v>-8.9851758645548615E-3</v>
      </c>
      <c r="I75" s="363">
        <f t="shared" si="6"/>
        <v>1252.7524999280909</v>
      </c>
      <c r="J75" s="366">
        <f t="shared" si="7"/>
        <v>1.5699980844395585</v>
      </c>
      <c r="K75" s="374">
        <f t="shared" si="8"/>
        <v>1.0724919765898868</v>
      </c>
      <c r="L75" s="375">
        <f t="shared" si="9"/>
        <v>0.36977715187188309</v>
      </c>
      <c r="M75" s="363">
        <f t="shared" si="10"/>
        <v>1.0000725073714147</v>
      </c>
      <c r="N75" s="366">
        <f t="shared" si="11"/>
        <v>1.2041842930935491E-2</v>
      </c>
      <c r="O75" s="367">
        <f t="shared" si="12"/>
        <v>1.0000119266412306</v>
      </c>
      <c r="P75" s="368">
        <f t="shared" si="13"/>
        <v>5.9604593719495827E-3</v>
      </c>
      <c r="Q75" s="369">
        <f t="shared" si="14"/>
        <v>27.912412759653517</v>
      </c>
      <c r="R75" s="370">
        <f t="shared" si="15"/>
        <v>-93.266685930146608</v>
      </c>
      <c r="S75" s="372">
        <f t="shared" si="16"/>
        <v>86.733314069853392</v>
      </c>
      <c r="U75" s="345">
        <f t="shared" si="23"/>
        <v>1000000000</v>
      </c>
      <c r="V75" s="345">
        <f t="shared" si="24"/>
        <v>91204</v>
      </c>
      <c r="X75" s="371">
        <f t="shared" si="17"/>
        <v>26.746620040231356</v>
      </c>
      <c r="Y75" s="372">
        <f t="shared" si="18"/>
        <v>-69.457540776252429</v>
      </c>
      <c r="AA75" s="371">
        <f t="shared" si="19"/>
        <v>58.667017987256159</v>
      </c>
      <c r="AB75" s="372">
        <f t="shared" si="20"/>
        <v>-23.809145153894189</v>
      </c>
      <c r="AD75">
        <f t="shared" si="25"/>
        <v>0</v>
      </c>
      <c r="AE75">
        <f t="shared" si="26"/>
        <v>0</v>
      </c>
    </row>
    <row r="76" spans="1:31" x14ac:dyDescent="0.2">
      <c r="A76" s="373">
        <v>331.13</v>
      </c>
      <c r="B76" s="390">
        <f t="shared" si="22"/>
        <v>0.33112999999999998</v>
      </c>
      <c r="C76" s="363">
        <f t="shared" si="0"/>
        <v>1.1037979003957026</v>
      </c>
      <c r="D76" s="364">
        <f t="shared" si="1"/>
        <v>0.43714755877043338</v>
      </c>
      <c r="E76" s="364">
        <f t="shared" si="2"/>
        <v>1.0000031166541616</v>
      </c>
      <c r="F76" s="365">
        <f t="shared" si="3"/>
        <v>2.496656190591401E-3</v>
      </c>
      <c r="G76" s="364">
        <f t="shared" si="4"/>
        <v>1.0000485309929688</v>
      </c>
      <c r="H76" s="365">
        <f t="shared" si="5"/>
        <v>-9.8518049448485263E-3</v>
      </c>
      <c r="I76" s="363">
        <f t="shared" si="6"/>
        <v>1373.5891161297432</v>
      </c>
      <c r="J76" s="366">
        <f t="shared" si="7"/>
        <v>1.5700683069841739</v>
      </c>
      <c r="K76" s="374">
        <f t="shared" si="8"/>
        <v>1.086563415384967</v>
      </c>
      <c r="L76" s="375">
        <f t="shared" si="9"/>
        <v>0.40186572044775409</v>
      </c>
      <c r="M76" s="363">
        <f t="shared" si="10"/>
        <v>1.0000871690172601</v>
      </c>
      <c r="N76" s="366">
        <f t="shared" si="11"/>
        <v>1.3203233369130556E-2</v>
      </c>
      <c r="O76" s="367">
        <f t="shared" si="12"/>
        <v>1.0000143384078433</v>
      </c>
      <c r="P76" s="368">
        <f t="shared" si="13"/>
        <v>6.5353791888322407E-3</v>
      </c>
      <c r="Q76" s="369">
        <f t="shared" si="14"/>
        <v>27.092786565150565</v>
      </c>
      <c r="R76" s="370">
        <f t="shared" si="15"/>
        <v>-93.532146247997204</v>
      </c>
      <c r="S76" s="372">
        <f t="shared" si="16"/>
        <v>86.467853752002796</v>
      </c>
      <c r="U76" s="345">
        <f t="shared" si="23"/>
        <v>1000000000</v>
      </c>
      <c r="V76" s="345">
        <f t="shared" si="24"/>
        <v>109647.0769</v>
      </c>
      <c r="X76" s="371">
        <f t="shared" si="17"/>
        <v>26.059881970522085</v>
      </c>
      <c r="Y76" s="372">
        <f t="shared" si="18"/>
        <v>-67.689567450127257</v>
      </c>
      <c r="AA76" s="371">
        <f t="shared" si="19"/>
        <v>58.534129862462486</v>
      </c>
      <c r="AB76" s="372">
        <f t="shared" si="20"/>
        <v>-25.842578797869955</v>
      </c>
      <c r="AD76">
        <f t="shared" si="25"/>
        <v>0</v>
      </c>
      <c r="AE76">
        <f t="shared" si="26"/>
        <v>0</v>
      </c>
    </row>
    <row r="77" spans="1:31" x14ac:dyDescent="0.2">
      <c r="A77" s="373">
        <v>363.08</v>
      </c>
      <c r="B77" s="390">
        <f t="shared" si="22"/>
        <v>0.36307999999999996</v>
      </c>
      <c r="C77" s="363">
        <f t="shared" ref="C77:C140" si="27">SQRT(1+(A77/pole1)^2)</f>
        <v>1.1236293168025728</v>
      </c>
      <c r="D77" s="364">
        <f t="shared" ref="D77:D140" si="28">ATAN(A77/pole1)</f>
        <v>0.47350988932667909</v>
      </c>
      <c r="E77" s="364">
        <f t="shared" ref="E77:E140" si="29">SQRT(1+(A77/Zero1)^2)</f>
        <v>1.0000037471068044</v>
      </c>
      <c r="F77" s="365">
        <f t="shared" ref="F77:F140" si="30">ATAN(A77/Zero1)</f>
        <v>2.7375518638701763E-3</v>
      </c>
      <c r="G77" s="364">
        <f t="shared" ref="G77:G140" si="31">IF(VIN_nom&gt;Vout, 1, SQRT(1+(A77/z_RHP)^2))</f>
        <v>1.0000583478208669</v>
      </c>
      <c r="H77" s="365">
        <f t="shared" ref="H77:H140" si="32">IF(VIN_nom&gt;Vout, 0, -ATAN(A77/z_RHP))</f>
        <v>-1.0802313081118883E-2</v>
      </c>
      <c r="I77" s="363">
        <f t="shared" ref="I77:I140" si="33">SQRT(1+(A77/Pole2)^2)</f>
        <v>1506.1236192660665</v>
      </c>
      <c r="J77" s="366">
        <f t="shared" ref="J77:J140" si="34">ATAN(A77/Pole2)</f>
        <v>1.5701323706224541</v>
      </c>
      <c r="K77" s="374">
        <f t="shared" ref="K77:K140" si="35">SQRT(1+(A77/Zero2)^2)</f>
        <v>1.1032483251199294</v>
      </c>
      <c r="L77" s="375">
        <f t="shared" ref="L77:L140" si="36">ATAN(A77/Zero2)</f>
        <v>0.43608033889972503</v>
      </c>
      <c r="M77" s="363">
        <f t="shared" ref="M77:M140" si="37">SQRT(1+(A77/pole4)^2)</f>
        <v>1.0001048011182114</v>
      </c>
      <c r="N77" s="366">
        <f t="shared" ref="N77:N140" si="38">ATAN(A77/pole4)</f>
        <v>1.4477013939435249E-2</v>
      </c>
      <c r="O77" s="367">
        <f t="shared" ref="O77:O140" si="39">SQRT((1-(V77/pterm2))^2+(A77/pterm1)^2)</f>
        <v>1.0000172388402724</v>
      </c>
      <c r="P77" s="368">
        <f t="shared" ref="P77:P140" si="40">IF((ATAN((A77/pterm1)/(1-A77^2/pterm2))&gt;0),ATAN((A77/pterm1)/(1-A77^2/pterm2)),PI()+ATAN((A77/pterm1)/(1-A77^2/pterm2)))</f>
        <v>7.1659529806274505E-3</v>
      </c>
      <c r="Q77" s="369">
        <f t="shared" ref="Q77:Q140" si="41">20*LOG10(((E77*K77*G77)/(C77*I77*O77*M77))*Adc)</f>
        <v>26.270317415789627</v>
      </c>
      <c r="R77" s="370">
        <f t="shared" ref="R77:R140" si="42">((F77+L77+H77)-(D77+J77+P77+N77))*radconv</f>
        <v>-93.808640930455908</v>
      </c>
      <c r="S77" s="372">
        <f t="shared" ref="S77:S140" si="43">IF(R77&gt;0,R77,R77+180)</f>
        <v>86.191359069544092</v>
      </c>
      <c r="U77" s="345">
        <f t="shared" si="23"/>
        <v>1000000000</v>
      </c>
      <c r="V77" s="345">
        <f t="shared" si="24"/>
        <v>131827.0864</v>
      </c>
      <c r="X77" s="371">
        <f t="shared" ref="X77:X140" si="44">20*LOG10((K77/(I77*M77))*AEA)</f>
        <v>25.39201724019528</v>
      </c>
      <c r="Y77" s="372">
        <f t="shared" ref="Y77:Y140" si="45">(L77-(J77+N77))*radconv</f>
        <v>-65.805867039824392</v>
      </c>
      <c r="AA77" s="371">
        <f t="shared" ref="AA77:AA140" si="46">20*LOG10((E77*G77/(C77*O77))*Acs*Am)</f>
        <v>58.379525443428349</v>
      </c>
      <c r="AB77" s="372">
        <f t="shared" ref="AB77:AB140" si="47">(F77+H77-(D77+P77))*radconv</f>
        <v>-28.002773890631534</v>
      </c>
      <c r="AD77">
        <f t="shared" si="25"/>
        <v>0</v>
      </c>
      <c r="AE77">
        <f t="shared" ref="AE77:AE89" si="48">IF(AD77&gt;0,S75,0)</f>
        <v>0</v>
      </c>
    </row>
    <row r="78" spans="1:31" x14ac:dyDescent="0.2">
      <c r="A78" s="373">
        <v>398.11</v>
      </c>
      <c r="B78" s="390">
        <f t="shared" ref="B78:B141" si="49">A78/1000</f>
        <v>0.39811000000000002</v>
      </c>
      <c r="C78" s="363">
        <f t="shared" si="27"/>
        <v>1.1470165759576245</v>
      </c>
      <c r="D78" s="364">
        <f t="shared" si="28"/>
        <v>0.51187634639091784</v>
      </c>
      <c r="E78" s="364">
        <f t="shared" si="29"/>
        <v>1.0000045050273005</v>
      </c>
      <c r="F78" s="365">
        <f t="shared" si="30"/>
        <v>3.0016696646717627E-3</v>
      </c>
      <c r="G78" s="364">
        <f t="shared" si="31"/>
        <v>1.000070149341415</v>
      </c>
      <c r="H78" s="365">
        <f t="shared" si="32"/>
        <v>-1.1844428300711356E-2</v>
      </c>
      <c r="I78" s="363">
        <f t="shared" si="33"/>
        <v>1651.4345373771391</v>
      </c>
      <c r="J78" s="366">
        <f t="shared" si="34"/>
        <v>1.5701907926132632</v>
      </c>
      <c r="K78" s="374">
        <f t="shared" si="35"/>
        <v>1.1229785801032319</v>
      </c>
      <c r="L78" s="375">
        <f t="shared" si="36"/>
        <v>0.47237771343283158</v>
      </c>
      <c r="M78" s="363">
        <f t="shared" si="37"/>
        <v>1.0001259977627415</v>
      </c>
      <c r="N78" s="366">
        <f t="shared" si="38"/>
        <v>1.5873533609983448E-2</v>
      </c>
      <c r="O78" s="367">
        <f t="shared" si="39"/>
        <v>1.0000207256895997</v>
      </c>
      <c r="P78" s="368">
        <f t="shared" si="40"/>
        <v>7.8573111501419844E-3</v>
      </c>
      <c r="Q78" s="369">
        <f t="shared" si="41"/>
        <v>25.445228519011479</v>
      </c>
      <c r="R78" s="370">
        <f t="shared" si="42"/>
        <v>-94.09474051772834</v>
      </c>
      <c r="S78" s="372">
        <f t="shared" si="43"/>
        <v>85.90525948227166</v>
      </c>
      <c r="U78" s="345">
        <f t="shared" ref="U78:U141" si="50">IF(Q78&lt;0,A78,1000000000)</f>
        <v>1000000000</v>
      </c>
      <c r="V78" s="345">
        <f t="shared" ref="V78:V141" si="51">A78^2</f>
        <v>158491.57210000002</v>
      </c>
      <c r="X78" s="371">
        <f t="shared" si="44"/>
        <v>24.745782189273591</v>
      </c>
      <c r="Y78" s="372">
        <f t="shared" si="45"/>
        <v>-63.809542686024137</v>
      </c>
      <c r="AA78" s="371">
        <f t="shared" si="46"/>
        <v>58.200671597571898</v>
      </c>
      <c r="AB78" s="372">
        <f t="shared" si="47"/>
        <v>-30.28519783170421</v>
      </c>
      <c r="AD78">
        <f t="shared" ref="AD78:AD141" si="52">SUM((Q79&lt;0)*(Q78&gt;0))*A78</f>
        <v>0</v>
      </c>
      <c r="AE78">
        <f t="shared" si="48"/>
        <v>0</v>
      </c>
    </row>
    <row r="79" spans="1:31" x14ac:dyDescent="0.2">
      <c r="A79" s="373">
        <v>436.52</v>
      </c>
      <c r="B79" s="390">
        <f t="shared" si="49"/>
        <v>0.43651999999999996</v>
      </c>
      <c r="C79" s="363">
        <f t="shared" si="27"/>
        <v>1.1745182182459826</v>
      </c>
      <c r="D79" s="364">
        <f t="shared" si="28"/>
        <v>0.55212300874974585</v>
      </c>
      <c r="E79" s="364">
        <f t="shared" si="29"/>
        <v>1.0000054162580696</v>
      </c>
      <c r="F79" s="365">
        <f t="shared" si="30"/>
        <v>3.2912713723392589E-3</v>
      </c>
      <c r="G79" s="364">
        <f t="shared" si="31"/>
        <v>1.0000843378716588</v>
      </c>
      <c r="H79" s="365">
        <f t="shared" si="32"/>
        <v>-1.2987066234391784E-2</v>
      </c>
      <c r="I79" s="363">
        <f t="shared" si="33"/>
        <v>1810.7663259415203</v>
      </c>
      <c r="J79" s="366">
        <f t="shared" si="34"/>
        <v>1.5702440743940738</v>
      </c>
      <c r="K79" s="374">
        <f t="shared" si="35"/>
        <v>1.1462503227291132</v>
      </c>
      <c r="L79" s="375">
        <f t="shared" si="36"/>
        <v>0.51068523408409949</v>
      </c>
      <c r="M79" s="363">
        <f t="shared" si="37"/>
        <v>1.000151481438349</v>
      </c>
      <c r="N79" s="366">
        <f t="shared" si="38"/>
        <v>1.7404730312881814E-2</v>
      </c>
      <c r="O79" s="367">
        <f t="shared" si="39"/>
        <v>1.0000249178413947</v>
      </c>
      <c r="P79" s="368">
        <f t="shared" si="40"/>
        <v>8.615373196848455E-3</v>
      </c>
      <c r="Q79" s="369">
        <f t="shared" si="41"/>
        <v>24.617439702832606</v>
      </c>
      <c r="R79" s="370">
        <f t="shared" si="42"/>
        <v>-94.388938215038934</v>
      </c>
      <c r="S79" s="372">
        <f t="shared" si="43"/>
        <v>85.611061784961066</v>
      </c>
      <c r="U79" s="345">
        <f t="shared" si="50"/>
        <v>1000000000</v>
      </c>
      <c r="V79" s="345">
        <f t="shared" si="51"/>
        <v>190549.71039999998</v>
      </c>
      <c r="X79" s="371">
        <f t="shared" si="44"/>
        <v>24.123699909944719</v>
      </c>
      <c r="Y79" s="372">
        <f t="shared" si="45"/>
        <v>-61.705467356537802</v>
      </c>
      <c r="AA79" s="371">
        <f t="shared" si="46"/>
        <v>57.994965060721889</v>
      </c>
      <c r="AB79" s="372">
        <f t="shared" si="47"/>
        <v>-32.683470858501153</v>
      </c>
      <c r="AD79">
        <f t="shared" si="52"/>
        <v>0</v>
      </c>
      <c r="AE79">
        <f t="shared" si="48"/>
        <v>0</v>
      </c>
    </row>
    <row r="80" spans="1:31" x14ac:dyDescent="0.2">
      <c r="A80" s="373">
        <v>478.63</v>
      </c>
      <c r="B80" s="390">
        <f t="shared" si="49"/>
        <v>0.47863</v>
      </c>
      <c r="C80" s="363">
        <f t="shared" si="27"/>
        <v>1.2067485665707827</v>
      </c>
      <c r="D80" s="364">
        <f t="shared" si="28"/>
        <v>0.59406352623885084</v>
      </c>
      <c r="E80" s="364">
        <f t="shared" si="29"/>
        <v>1.0000065116440231</v>
      </c>
      <c r="F80" s="365">
        <f t="shared" si="30"/>
        <v>3.6087695101552596E-3</v>
      </c>
      <c r="G80" s="364">
        <f t="shared" si="31"/>
        <v>1.0001013935836425</v>
      </c>
      <c r="H80" s="365">
        <f t="shared" si="32"/>
        <v>-1.4239734349209157E-2</v>
      </c>
      <c r="I80" s="363">
        <f t="shared" si="33"/>
        <v>1985.446404180904</v>
      </c>
      <c r="J80" s="366">
        <f t="shared" si="34"/>
        <v>1.5702926617046811</v>
      </c>
      <c r="K80" s="374">
        <f t="shared" si="35"/>
        <v>1.1736145849573012</v>
      </c>
      <c r="L80" s="375">
        <f t="shared" si="36"/>
        <v>0.55087186799621546</v>
      </c>
      <c r="M80" s="363">
        <f t="shared" si="37"/>
        <v>1.0001821144087832</v>
      </c>
      <c r="N80" s="366">
        <f t="shared" si="38"/>
        <v>1.908333173371396E-2</v>
      </c>
      <c r="O80" s="367">
        <f t="shared" si="39"/>
        <v>1.0000299571934843</v>
      </c>
      <c r="P80" s="368">
        <f t="shared" si="40"/>
        <v>9.4464528774616495E-3</v>
      </c>
      <c r="Q80" s="369">
        <f t="shared" si="41"/>
        <v>23.787152237162278</v>
      </c>
      <c r="R80" s="370">
        <f t="shared" si="42"/>
        <v>-94.689587617783062</v>
      </c>
      <c r="S80" s="372">
        <f t="shared" si="43"/>
        <v>85.310412382216938</v>
      </c>
      <c r="U80" s="345">
        <f t="shared" si="50"/>
        <v>1000000000</v>
      </c>
      <c r="V80" s="345">
        <f t="shared" si="51"/>
        <v>229086.67689999999</v>
      </c>
      <c r="X80" s="371">
        <f t="shared" si="44"/>
        <v>23.528439249721551</v>
      </c>
      <c r="Y80" s="372">
        <f t="shared" si="45"/>
        <v>-59.501903462752345</v>
      </c>
      <c r="AA80" s="371">
        <f t="shared" si="46"/>
        <v>57.759938255274726</v>
      </c>
      <c r="AB80" s="372">
        <f t="shared" si="47"/>
        <v>-35.187684155030709</v>
      </c>
      <c r="AD80">
        <f t="shared" si="52"/>
        <v>0</v>
      </c>
      <c r="AE80">
        <f t="shared" si="48"/>
        <v>0</v>
      </c>
    </row>
    <row r="81" spans="1:31" x14ac:dyDescent="0.2">
      <c r="A81" s="373">
        <v>524.80999999999995</v>
      </c>
      <c r="B81" s="390">
        <f t="shared" si="49"/>
        <v>0.52481</v>
      </c>
      <c r="C81" s="363">
        <f t="shared" si="27"/>
        <v>1.2443991218996813</v>
      </c>
      <c r="D81" s="364">
        <f t="shared" si="28"/>
        <v>0.63747570939880116</v>
      </c>
      <c r="E81" s="364">
        <f t="shared" si="29"/>
        <v>1.0000078287916569</v>
      </c>
      <c r="F81" s="365">
        <f t="shared" si="30"/>
        <v>3.9569535206471825E-3</v>
      </c>
      <c r="G81" s="364">
        <f t="shared" si="31"/>
        <v>1.0001219018764687</v>
      </c>
      <c r="H81" s="365">
        <f t="shared" si="32"/>
        <v>-1.5613423350892688E-2</v>
      </c>
      <c r="I81" s="363">
        <f t="shared" si="33"/>
        <v>2177.0096006147992</v>
      </c>
      <c r="J81" s="366">
        <f t="shared" si="34"/>
        <v>1.5703369810782384</v>
      </c>
      <c r="K81" s="374">
        <f t="shared" si="35"/>
        <v>1.2056966996433811</v>
      </c>
      <c r="L81" s="375">
        <f t="shared" si="36"/>
        <v>0.59277069752515266</v>
      </c>
      <c r="M81" s="363">
        <f t="shared" si="37"/>
        <v>1.0002189478484174</v>
      </c>
      <c r="N81" s="366">
        <f t="shared" si="38"/>
        <v>2.0924048719723611E-2</v>
      </c>
      <c r="O81" s="367">
        <f t="shared" si="39"/>
        <v>1.0000360167477951</v>
      </c>
      <c r="P81" s="368">
        <f t="shared" si="40"/>
        <v>1.0357850132001458E-2</v>
      </c>
      <c r="Q81" s="369">
        <f t="shared" si="41"/>
        <v>22.954319163069663</v>
      </c>
      <c r="R81" s="370">
        <f t="shared" si="42"/>
        <v>-94.995277345741926</v>
      </c>
      <c r="S81" s="372">
        <f t="shared" si="43"/>
        <v>85.004722654258074</v>
      </c>
      <c r="U81" s="345">
        <f t="shared" si="50"/>
        <v>1000000000</v>
      </c>
      <c r="V81" s="345">
        <f t="shared" si="51"/>
        <v>275425.53609999997</v>
      </c>
      <c r="X81" s="371">
        <f t="shared" si="44"/>
        <v>22.962327340382704</v>
      </c>
      <c r="Y81" s="372">
        <f t="shared" si="45"/>
        <v>-57.209281989218319</v>
      </c>
      <c r="AA81" s="371">
        <f t="shared" si="46"/>
        <v>57.493217090520957</v>
      </c>
      <c r="AB81" s="372">
        <f t="shared" si="47"/>
        <v>-37.785995356523586</v>
      </c>
      <c r="AD81">
        <f t="shared" si="52"/>
        <v>0</v>
      </c>
      <c r="AE81">
        <f t="shared" si="48"/>
        <v>0</v>
      </c>
    </row>
    <row r="82" spans="1:31" x14ac:dyDescent="0.2">
      <c r="A82" s="373">
        <v>575.44000000000005</v>
      </c>
      <c r="B82" s="390">
        <f t="shared" si="49"/>
        <v>0.57544000000000006</v>
      </c>
      <c r="C82" s="363">
        <f t="shared" si="27"/>
        <v>1.2882045174143795</v>
      </c>
      <c r="D82" s="364">
        <f t="shared" si="28"/>
        <v>0.68206238385785178</v>
      </c>
      <c r="E82" s="364">
        <f t="shared" si="29"/>
        <v>1.0000094121812746</v>
      </c>
      <c r="F82" s="365">
        <f t="shared" si="30"/>
        <v>4.3386881545006721E-3</v>
      </c>
      <c r="G82" s="364">
        <f t="shared" si="31"/>
        <v>1.0001465550975961</v>
      </c>
      <c r="H82" s="365">
        <f t="shared" si="32"/>
        <v>-1.711941594625891E-2</v>
      </c>
      <c r="I82" s="363">
        <f t="shared" si="33"/>
        <v>2387.032225651616</v>
      </c>
      <c r="J82" s="366">
        <f t="shared" si="34"/>
        <v>1.5703773965355963</v>
      </c>
      <c r="K82" s="374">
        <f t="shared" si="35"/>
        <v>1.2431683962378464</v>
      </c>
      <c r="L82" s="375">
        <f t="shared" si="36"/>
        <v>0.63613780833089295</v>
      </c>
      <c r="M82" s="363">
        <f t="shared" si="37"/>
        <v>1.0002632248939849</v>
      </c>
      <c r="N82" s="366">
        <f t="shared" si="38"/>
        <v>2.2941977573748766E-2</v>
      </c>
      <c r="O82" s="367">
        <f t="shared" si="39"/>
        <v>1.0000433011253194</v>
      </c>
      <c r="P82" s="368">
        <f t="shared" si="40"/>
        <v>1.1357061448820614E-2</v>
      </c>
      <c r="Q82" s="369">
        <f t="shared" si="41"/>
        <v>22.119475844778723</v>
      </c>
      <c r="R82" s="370">
        <f t="shared" si="42"/>
        <v>-95.304753465678886</v>
      </c>
      <c r="S82" s="372">
        <f t="shared" si="43"/>
        <v>84.695246534321114</v>
      </c>
      <c r="U82" s="345">
        <f t="shared" si="50"/>
        <v>1000000000</v>
      </c>
      <c r="V82" s="345">
        <f t="shared" si="51"/>
        <v>331131.19360000006</v>
      </c>
      <c r="X82" s="371">
        <f t="shared" si="44"/>
        <v>22.427821867543699</v>
      </c>
      <c r="Y82" s="372">
        <f t="shared" si="45"/>
        <v>-54.842464009495743</v>
      </c>
      <c r="AA82" s="371">
        <f t="shared" si="46"/>
        <v>57.192879245069015</v>
      </c>
      <c r="AB82" s="372">
        <f t="shared" si="47"/>
        <v>-40.462289456183157</v>
      </c>
      <c r="AD82">
        <f t="shared" si="52"/>
        <v>0</v>
      </c>
      <c r="AE82">
        <f t="shared" si="48"/>
        <v>0</v>
      </c>
    </row>
    <row r="83" spans="1:31" x14ac:dyDescent="0.2">
      <c r="A83" s="373">
        <v>630.96</v>
      </c>
      <c r="B83" s="390">
        <f t="shared" si="49"/>
        <v>0.63096000000000008</v>
      </c>
      <c r="C83" s="363">
        <f t="shared" si="27"/>
        <v>1.338979045495688</v>
      </c>
      <c r="D83" s="364">
        <f t="shared" si="28"/>
        <v>0.72750235929561091</v>
      </c>
      <c r="E83" s="364">
        <f t="shared" si="29"/>
        <v>1.0000113160128137</v>
      </c>
      <c r="F83" s="365">
        <f t="shared" si="30"/>
        <v>4.7572904272395163E-3</v>
      </c>
      <c r="G83" s="364">
        <f t="shared" si="31"/>
        <v>1.0001761968151177</v>
      </c>
      <c r="H83" s="365">
        <f t="shared" si="32"/>
        <v>-1.8770772382030409E-2</v>
      </c>
      <c r="I83" s="363">
        <f t="shared" si="33"/>
        <v>2617.3394808519565</v>
      </c>
      <c r="J83" s="366">
        <f t="shared" si="34"/>
        <v>1.5704142594201274</v>
      </c>
      <c r="K83" s="374">
        <f t="shared" si="35"/>
        <v>1.2867796030575231</v>
      </c>
      <c r="L83" s="375">
        <f t="shared" si="36"/>
        <v>0.68069763732326927</v>
      </c>
      <c r="M83" s="363">
        <f t="shared" si="37"/>
        <v>1.0003164601009544</v>
      </c>
      <c r="N83" s="366">
        <f t="shared" si="38"/>
        <v>2.5154588752573752E-2</v>
      </c>
      <c r="O83" s="367">
        <f t="shared" si="39"/>
        <v>1.0000520596564506</v>
      </c>
      <c r="P83" s="368">
        <f t="shared" si="40"/>
        <v>1.2452766388408728E-2</v>
      </c>
      <c r="Q83" s="369">
        <f t="shared" si="41"/>
        <v>21.282880878622137</v>
      </c>
      <c r="R83" s="370">
        <f t="shared" si="42"/>
        <v>-95.617478392013552</v>
      </c>
      <c r="S83" s="372">
        <f t="shared" si="43"/>
        <v>84.382521607986448</v>
      </c>
      <c r="U83" s="345">
        <f t="shared" si="50"/>
        <v>1000000000</v>
      </c>
      <c r="V83" s="345">
        <f t="shared" si="51"/>
        <v>398110.52160000004</v>
      </c>
      <c r="X83" s="371">
        <f t="shared" si="44"/>
        <v>21.926808268723683</v>
      </c>
      <c r="Y83" s="372">
        <f t="shared" si="45"/>
        <v>-52.418259239592281</v>
      </c>
      <c r="AA83" s="371">
        <f t="shared" si="46"/>
        <v>56.857297877732464</v>
      </c>
      <c r="AB83" s="372">
        <f t="shared" si="47"/>
        <v>-43.199219152421271</v>
      </c>
      <c r="AD83">
        <f t="shared" si="52"/>
        <v>0</v>
      </c>
      <c r="AE83">
        <f t="shared" si="48"/>
        <v>0</v>
      </c>
    </row>
    <row r="84" spans="1:31" x14ac:dyDescent="0.2">
      <c r="A84" s="373">
        <v>691.83</v>
      </c>
      <c r="B84" s="390">
        <f t="shared" si="49"/>
        <v>0.69183000000000006</v>
      </c>
      <c r="C84" s="363">
        <f t="shared" si="27"/>
        <v>1.3975773869731829</v>
      </c>
      <c r="D84" s="364">
        <f t="shared" si="28"/>
        <v>0.773422589996834</v>
      </c>
      <c r="E84" s="364">
        <f t="shared" si="29"/>
        <v>1.0000136046714765</v>
      </c>
      <c r="F84" s="365">
        <f t="shared" si="30"/>
        <v>5.2162279932947914E-3</v>
      </c>
      <c r="G84" s="364">
        <f t="shared" si="31"/>
        <v>1.0002118290130027</v>
      </c>
      <c r="H84" s="365">
        <f t="shared" si="32"/>
        <v>-2.0581138297885191E-2</v>
      </c>
      <c r="I84" s="363">
        <f t="shared" si="33"/>
        <v>2869.8395315146226</v>
      </c>
      <c r="J84" s="366">
        <f t="shared" si="34"/>
        <v>1.5704478752493467</v>
      </c>
      <c r="K84" s="374">
        <f t="shared" si="35"/>
        <v>1.3373250415414393</v>
      </c>
      <c r="L84" s="375">
        <f t="shared" si="36"/>
        <v>0.72611228106320103</v>
      </c>
      <c r="M84" s="363">
        <f t="shared" si="37"/>
        <v>1.0003804522828506</v>
      </c>
      <c r="N84" s="366">
        <f t="shared" si="38"/>
        <v>2.7580126977501208E-2</v>
      </c>
      <c r="O84" s="367">
        <f t="shared" si="39"/>
        <v>1.0000625885203545</v>
      </c>
      <c r="P84" s="368">
        <f t="shared" si="40"/>
        <v>1.3654037813490557E-2</v>
      </c>
      <c r="Q84" s="369">
        <f t="shared" si="41"/>
        <v>20.445226447244117</v>
      </c>
      <c r="R84" s="370">
        <f t="shared" si="42"/>
        <v>-95.933604463373413</v>
      </c>
      <c r="S84" s="372">
        <f t="shared" si="43"/>
        <v>84.066395536626587</v>
      </c>
      <c r="U84" s="345">
        <f t="shared" si="50"/>
        <v>1000000000</v>
      </c>
      <c r="V84" s="345">
        <f t="shared" si="51"/>
        <v>478628.74890000006</v>
      </c>
      <c r="X84" s="371">
        <f t="shared" si="44"/>
        <v>21.460957659614998</v>
      </c>
      <c r="Y84" s="372">
        <f t="shared" si="45"/>
        <v>-49.957090970866766</v>
      </c>
      <c r="AA84" s="371">
        <f t="shared" si="46"/>
        <v>56.485494055463121</v>
      </c>
      <c r="AB84" s="372">
        <f t="shared" si="47"/>
        <v>-45.976513492506633</v>
      </c>
      <c r="AD84">
        <f t="shared" si="52"/>
        <v>0</v>
      </c>
      <c r="AE84">
        <f t="shared" si="48"/>
        <v>0</v>
      </c>
    </row>
    <row r="85" spans="1:31" x14ac:dyDescent="0.2">
      <c r="A85" s="373">
        <v>758.58</v>
      </c>
      <c r="B85" s="390">
        <f t="shared" si="49"/>
        <v>0.75858000000000003</v>
      </c>
      <c r="C85" s="363">
        <f t="shared" si="27"/>
        <v>1.4649355334053242</v>
      </c>
      <c r="D85" s="364">
        <f t="shared" si="28"/>
        <v>0.81944909562298074</v>
      </c>
      <c r="E85" s="364">
        <f t="shared" si="29"/>
        <v>1.0000163565406395</v>
      </c>
      <c r="F85" s="365">
        <f t="shared" si="30"/>
        <v>5.7194960784361076E-3</v>
      </c>
      <c r="G85" s="364">
        <f t="shared" si="31"/>
        <v>1.0002546713768539</v>
      </c>
      <c r="H85" s="365">
        <f t="shared" si="32"/>
        <v>-2.256622877982787E-2</v>
      </c>
      <c r="I85" s="363">
        <f t="shared" si="33"/>
        <v>3146.7309159483498</v>
      </c>
      <c r="J85" s="366">
        <f t="shared" si="34"/>
        <v>1.5704785366680816</v>
      </c>
      <c r="K85" s="374">
        <f t="shared" si="35"/>
        <v>1.3956790490886686</v>
      </c>
      <c r="L85" s="375">
        <f t="shared" si="36"/>
        <v>0.77202846690224836</v>
      </c>
      <c r="M85" s="363">
        <f t="shared" si="37"/>
        <v>1.0004573908648462</v>
      </c>
      <c r="N85" s="366">
        <f t="shared" si="38"/>
        <v>3.0239596366199564E-2</v>
      </c>
      <c r="O85" s="367">
        <f t="shared" si="39"/>
        <v>1.0000752482821378</v>
      </c>
      <c r="P85" s="368">
        <f t="shared" si="40"/>
        <v>1.4971328192418186E-2</v>
      </c>
      <c r="Q85" s="369">
        <f t="shared" si="41"/>
        <v>19.606923246466167</v>
      </c>
      <c r="R85" s="370">
        <f t="shared" si="42"/>
        <v>-96.254435811972044</v>
      </c>
      <c r="S85" s="372">
        <f t="shared" si="43"/>
        <v>83.745564188027956</v>
      </c>
      <c r="U85" s="345">
        <f t="shared" si="50"/>
        <v>1000000000</v>
      </c>
      <c r="V85" s="345">
        <f t="shared" si="51"/>
        <v>575443.61640000006</v>
      </c>
      <c r="X85" s="371">
        <f t="shared" si="44"/>
        <v>21.031221438818136</v>
      </c>
      <c r="Y85" s="372">
        <f t="shared" si="45"/>
        <v>-47.480420449725045</v>
      </c>
      <c r="AA85" s="371">
        <f t="shared" si="46"/>
        <v>56.076927075482033</v>
      </c>
      <c r="AB85" s="372">
        <f t="shared" si="47"/>
        <v>-48.77401536224702</v>
      </c>
      <c r="AD85">
        <f t="shared" si="52"/>
        <v>0</v>
      </c>
      <c r="AE85">
        <f t="shared" si="48"/>
        <v>0</v>
      </c>
    </row>
    <row r="86" spans="1:31" x14ac:dyDescent="0.2">
      <c r="A86" s="373">
        <v>831.76</v>
      </c>
      <c r="B86" s="390">
        <f t="shared" si="49"/>
        <v>0.83175999999999994</v>
      </c>
      <c r="C86" s="363">
        <f t="shared" si="27"/>
        <v>1.542017237718122</v>
      </c>
      <c r="D86" s="364">
        <f t="shared" si="28"/>
        <v>0.86518253134316436</v>
      </c>
      <c r="E86" s="364">
        <f t="shared" si="29"/>
        <v>1.0000196645505188</v>
      </c>
      <c r="F86" s="365">
        <f t="shared" si="30"/>
        <v>6.2712404321246269E-3</v>
      </c>
      <c r="G86" s="364">
        <f t="shared" si="31"/>
        <v>1.0003061697223823</v>
      </c>
      <c r="H86" s="365">
        <f t="shared" si="32"/>
        <v>-2.4742337246242741E-2</v>
      </c>
      <c r="I86" s="363">
        <f t="shared" si="33"/>
        <v>3450.2951361970645</v>
      </c>
      <c r="J86" s="366">
        <f t="shared" si="34"/>
        <v>1.5705064965124058</v>
      </c>
      <c r="K86" s="374">
        <f t="shared" si="35"/>
        <v>1.4627484036314045</v>
      </c>
      <c r="L86" s="375">
        <f t="shared" si="36"/>
        <v>0.81805147436975401</v>
      </c>
      <c r="M86" s="363">
        <f t="shared" si="37"/>
        <v>1.0005498708471898</v>
      </c>
      <c r="N86" s="366">
        <f t="shared" si="38"/>
        <v>3.3154758343378936E-2</v>
      </c>
      <c r="O86" s="367">
        <f t="shared" si="39"/>
        <v>1.0000904664111923</v>
      </c>
      <c r="P86" s="368">
        <f t="shared" si="40"/>
        <v>1.6415482248424006E-2</v>
      </c>
      <c r="Q86" s="369">
        <f t="shared" si="41"/>
        <v>18.768798511956803</v>
      </c>
      <c r="R86" s="370">
        <f t="shared" si="42"/>
        <v>-96.582286172751495</v>
      </c>
      <c r="S86" s="372">
        <f t="shared" si="43"/>
        <v>83.417713827248505</v>
      </c>
      <c r="U86" s="345">
        <f t="shared" si="50"/>
        <v>1000000000</v>
      </c>
      <c r="V86" s="345">
        <f t="shared" si="51"/>
        <v>691824.69759999996</v>
      </c>
      <c r="X86" s="371">
        <f t="shared" si="44"/>
        <v>20.638167264787079</v>
      </c>
      <c r="Y86" s="372">
        <f t="shared" si="45"/>
        <v>-45.012124817482466</v>
      </c>
      <c r="AA86" s="371">
        <f t="shared" si="46"/>
        <v>55.631856515003719</v>
      </c>
      <c r="AB86" s="372">
        <f t="shared" si="47"/>
        <v>-51.570161355269008</v>
      </c>
      <c r="AD86">
        <f t="shared" si="52"/>
        <v>0</v>
      </c>
      <c r="AE86">
        <f t="shared" si="48"/>
        <v>0</v>
      </c>
    </row>
    <row r="87" spans="1:31" x14ac:dyDescent="0.2">
      <c r="A87" s="373">
        <v>912.01</v>
      </c>
      <c r="B87" s="390">
        <f t="shared" si="49"/>
        <v>0.91200999999999999</v>
      </c>
      <c r="C87" s="363">
        <f t="shared" si="27"/>
        <v>1.6298811436040705</v>
      </c>
      <c r="D87" s="364">
        <f t="shared" si="28"/>
        <v>0.91025846390925857</v>
      </c>
      <c r="E87" s="364">
        <f t="shared" si="29"/>
        <v>1.000023642113556</v>
      </c>
      <c r="F87" s="365">
        <f t="shared" si="30"/>
        <v>6.8762850106882985E-3</v>
      </c>
      <c r="G87" s="364">
        <f t="shared" si="31"/>
        <v>1.0003680882344568</v>
      </c>
      <c r="H87" s="365">
        <f t="shared" si="32"/>
        <v>-2.7128411765265269E-2</v>
      </c>
      <c r="I87" s="363">
        <f t="shared" si="33"/>
        <v>3783.1870310275895</v>
      </c>
      <c r="J87" s="366">
        <f t="shared" si="34"/>
        <v>1.570531999389605</v>
      </c>
      <c r="K87" s="374">
        <f t="shared" si="35"/>
        <v>1.5395291478577755</v>
      </c>
      <c r="L87" s="375">
        <f t="shared" si="36"/>
        <v>0.86380488602851768</v>
      </c>
      <c r="M87" s="363">
        <f t="shared" si="37"/>
        <v>1.0006610582004196</v>
      </c>
      <c r="N87" s="366">
        <f t="shared" si="38"/>
        <v>3.6350907575310516E-2</v>
      </c>
      <c r="O87" s="367">
        <f t="shared" si="39"/>
        <v>1.0001087645780706</v>
      </c>
      <c r="P87" s="368">
        <f t="shared" si="40"/>
        <v>1.7999117582463742E-2</v>
      </c>
      <c r="Q87" s="369">
        <f t="shared" si="41"/>
        <v>17.931246798193147</v>
      </c>
      <c r="R87" s="370">
        <f t="shared" si="42"/>
        <v>-96.920837669035635</v>
      </c>
      <c r="S87" s="372">
        <f t="shared" si="43"/>
        <v>83.079162330964365</v>
      </c>
      <c r="U87" s="345">
        <f t="shared" si="50"/>
        <v>1000000000</v>
      </c>
      <c r="V87" s="345">
        <f t="shared" si="51"/>
        <v>831762.24009999994</v>
      </c>
      <c r="X87" s="371">
        <f t="shared" si="44"/>
        <v>20.281536422375858</v>
      </c>
      <c r="Y87" s="372">
        <f t="shared" si="45"/>
        <v>-42.575234497238718</v>
      </c>
      <c r="AA87" s="371">
        <f t="shared" si="46"/>
        <v>55.150935643651295</v>
      </c>
      <c r="AB87" s="372">
        <f t="shared" si="47"/>
        <v>-54.34560317179691</v>
      </c>
      <c r="AD87">
        <f t="shared" si="52"/>
        <v>0</v>
      </c>
      <c r="AE87">
        <f t="shared" si="48"/>
        <v>0</v>
      </c>
    </row>
    <row r="88" spans="1:31" x14ac:dyDescent="0.2">
      <c r="A88" s="373">
        <v>1000</v>
      </c>
      <c r="B88" s="390">
        <f t="shared" si="49"/>
        <v>1</v>
      </c>
      <c r="C88" s="363">
        <f t="shared" si="27"/>
        <v>1.7296155008842611</v>
      </c>
      <c r="D88" s="364">
        <f t="shared" si="28"/>
        <v>0.9543206576143064</v>
      </c>
      <c r="E88" s="364">
        <f t="shared" si="29"/>
        <v>1.0000284240566466</v>
      </c>
      <c r="F88" s="365">
        <f t="shared" si="30"/>
        <v>7.5396794879507888E-3</v>
      </c>
      <c r="G88" s="364">
        <f t="shared" si="31"/>
        <v>1.0004425237409502</v>
      </c>
      <c r="H88" s="365">
        <f t="shared" si="32"/>
        <v>-2.9744263755072237E-2</v>
      </c>
      <c r="I88" s="363">
        <f t="shared" si="33"/>
        <v>4148.1858847958511</v>
      </c>
      <c r="J88" s="366">
        <f t="shared" si="34"/>
        <v>1.5705552575570521</v>
      </c>
      <c r="K88" s="374">
        <f t="shared" si="35"/>
        <v>1.6270481381072539</v>
      </c>
      <c r="L88" s="375">
        <f t="shared" si="36"/>
        <v>0.90890490172876504</v>
      </c>
      <c r="M88" s="363">
        <f t="shared" si="37"/>
        <v>1.0007947151344372</v>
      </c>
      <c r="N88" s="366">
        <f t="shared" si="38"/>
        <v>3.9854464768465492E-2</v>
      </c>
      <c r="O88" s="367">
        <f t="shared" si="39"/>
        <v>1.0001307629309799</v>
      </c>
      <c r="P88" s="368">
        <f t="shared" si="40"/>
        <v>1.9735439559986315E-2</v>
      </c>
      <c r="Q88" s="369">
        <f t="shared" si="41"/>
        <v>17.094952588757621</v>
      </c>
      <c r="R88" s="370">
        <f t="shared" si="42"/>
        <v>-97.274797980848987</v>
      </c>
      <c r="S88" s="372">
        <f t="shared" si="43"/>
        <v>82.725202019151013</v>
      </c>
      <c r="U88" s="345">
        <f t="shared" si="50"/>
        <v>1000000000</v>
      </c>
      <c r="V88" s="345">
        <f t="shared" si="51"/>
        <v>1000000</v>
      </c>
      <c r="X88" s="371">
        <f t="shared" si="44"/>
        <v>19.960618123161993</v>
      </c>
      <c r="Y88" s="372">
        <f t="shared" si="45"/>
        <v>-40.193265574203402</v>
      </c>
      <c r="AA88" s="371">
        <f t="shared" si="46"/>
        <v>54.635559733429631</v>
      </c>
      <c r="AB88" s="372">
        <f t="shared" si="47"/>
        <v>-57.081532406645572</v>
      </c>
      <c r="AD88">
        <f t="shared" si="52"/>
        <v>0</v>
      </c>
      <c r="AE88">
        <f t="shared" si="48"/>
        <v>0</v>
      </c>
    </row>
    <row r="89" spans="1:31" x14ac:dyDescent="0.2">
      <c r="A89" s="373">
        <v>1096.5</v>
      </c>
      <c r="B89" s="390">
        <f t="shared" si="49"/>
        <v>1.0965</v>
      </c>
      <c r="C89" s="363">
        <f t="shared" si="27"/>
        <v>1.8424138363312463</v>
      </c>
      <c r="D89" s="364">
        <f t="shared" si="28"/>
        <v>0.99706913040945677</v>
      </c>
      <c r="E89" s="364">
        <f t="shared" si="29"/>
        <v>1.0000341744932433</v>
      </c>
      <c r="F89" s="365">
        <f t="shared" si="30"/>
        <v>8.2672268657621121E-3</v>
      </c>
      <c r="G89" s="364">
        <f t="shared" si="31"/>
        <v>1.0005320279105689</v>
      </c>
      <c r="H89" s="365">
        <f t="shared" si="32"/>
        <v>-3.2612639866347701E-2</v>
      </c>
      <c r="I89" s="363">
        <f t="shared" si="33"/>
        <v>4548.4858004391344</v>
      </c>
      <c r="J89" s="366">
        <f t="shared" si="34"/>
        <v>1.5705764734080927</v>
      </c>
      <c r="K89" s="374">
        <f t="shared" si="35"/>
        <v>1.7264274408997402</v>
      </c>
      <c r="L89" s="375">
        <f t="shared" si="36"/>
        <v>0.95301152995901239</v>
      </c>
      <c r="M89" s="363">
        <f t="shared" si="37"/>
        <v>1.0009554190021226</v>
      </c>
      <c r="N89" s="366">
        <f t="shared" si="38"/>
        <v>4.3695741987011864E-2</v>
      </c>
      <c r="O89" s="367">
        <f t="shared" si="39"/>
        <v>1.0001572162925771</v>
      </c>
      <c r="P89" s="368">
        <f t="shared" si="40"/>
        <v>2.1639621273965612E-2</v>
      </c>
      <c r="Q89" s="369">
        <f t="shared" si="41"/>
        <v>16.260188736633118</v>
      </c>
      <c r="R89" s="370">
        <f t="shared" si="42"/>
        <v>-97.650047984934645</v>
      </c>
      <c r="S89" s="372">
        <f t="shared" si="43"/>
        <v>82.349952015065355</v>
      </c>
      <c r="U89" s="345">
        <f t="shared" si="50"/>
        <v>1000000000</v>
      </c>
      <c r="V89" s="345">
        <f t="shared" si="51"/>
        <v>1202312.25</v>
      </c>
      <c r="X89" s="371">
        <f t="shared" si="44"/>
        <v>19.67400937178153</v>
      </c>
      <c r="Y89" s="372">
        <f t="shared" si="45"/>
        <v>-37.887446476708739</v>
      </c>
      <c r="AA89" s="371">
        <f t="shared" si="46"/>
        <v>54.08740463268559</v>
      </c>
      <c r="AB89" s="372">
        <f t="shared" si="47"/>
        <v>-59.762601508225899</v>
      </c>
      <c r="AD89">
        <f t="shared" si="52"/>
        <v>0</v>
      </c>
      <c r="AE89">
        <f t="shared" si="48"/>
        <v>0</v>
      </c>
    </row>
    <row r="90" spans="1:31" x14ac:dyDescent="0.2">
      <c r="A90" s="373">
        <v>1202.3</v>
      </c>
      <c r="B90" s="390">
        <f t="shared" si="49"/>
        <v>1.2022999999999999</v>
      </c>
      <c r="C90" s="363">
        <f t="shared" si="27"/>
        <v>1.9694833040900417</v>
      </c>
      <c r="D90" s="364">
        <f t="shared" si="28"/>
        <v>1.0382282967697165</v>
      </c>
      <c r="E90" s="364">
        <f t="shared" si="29"/>
        <v>1.000041087432578</v>
      </c>
      <c r="F90" s="365">
        <f t="shared" si="30"/>
        <v>9.0648801220008304E-3</v>
      </c>
      <c r="G90" s="364">
        <f t="shared" si="31"/>
        <v>1.0006396162411302</v>
      </c>
      <c r="H90" s="365">
        <f t="shared" si="32"/>
        <v>-3.5756831598782582E-2</v>
      </c>
      <c r="I90" s="363">
        <f t="shared" si="33"/>
        <v>4987.3638446246432</v>
      </c>
      <c r="J90" s="366">
        <f t="shared" si="34"/>
        <v>1.5705958200667223</v>
      </c>
      <c r="K90" s="374">
        <f t="shared" si="35"/>
        <v>1.8388020714173416</v>
      </c>
      <c r="L90" s="375">
        <f t="shared" si="36"/>
        <v>0.99579926865766366</v>
      </c>
      <c r="M90" s="363">
        <f t="shared" si="37"/>
        <v>1.0011485776865774</v>
      </c>
      <c r="N90" s="366">
        <f t="shared" si="38"/>
        <v>4.7905728344030465E-2</v>
      </c>
      <c r="O90" s="367">
        <f t="shared" si="39"/>
        <v>1.0001890169374514</v>
      </c>
      <c r="P90" s="368">
        <f t="shared" si="40"/>
        <v>2.3727223096367638E-2</v>
      </c>
      <c r="Q90" s="369">
        <f t="shared" si="41"/>
        <v>15.427577123807346</v>
      </c>
      <c r="R90" s="370">
        <f t="shared" si="42"/>
        <v>-98.053118120604154</v>
      </c>
      <c r="S90" s="372">
        <f t="shared" si="43"/>
        <v>81.946881879395846</v>
      </c>
      <c r="U90" s="345">
        <f t="shared" si="50"/>
        <v>1000000000</v>
      </c>
      <c r="V90" s="345">
        <f t="shared" si="51"/>
        <v>1445525.2899999998</v>
      </c>
      <c r="X90" s="371">
        <f t="shared" si="44"/>
        <v>19.419982272843676</v>
      </c>
      <c r="Y90" s="372">
        <f t="shared" si="45"/>
        <v>-35.678212563795</v>
      </c>
      <c r="AA90" s="371">
        <f t="shared" si="46"/>
        <v>53.508820118797672</v>
      </c>
      <c r="AB90" s="372">
        <f t="shared" si="47"/>
        <v>-62.374905556809175</v>
      </c>
      <c r="AD90">
        <f t="shared" si="52"/>
        <v>0</v>
      </c>
      <c r="AE90">
        <f t="shared" ref="AE90:AE153" si="53">IF(AD90&gt;0,S90,0)</f>
        <v>0</v>
      </c>
    </row>
    <row r="91" spans="1:31" x14ac:dyDescent="0.2">
      <c r="A91" s="373">
        <v>1318.3</v>
      </c>
      <c r="B91" s="390">
        <f t="shared" si="49"/>
        <v>1.3183</v>
      </c>
      <c r="C91" s="363">
        <f t="shared" si="27"/>
        <v>2.112150273228353</v>
      </c>
      <c r="D91" s="364">
        <f t="shared" si="28"/>
        <v>1.0775915329224706</v>
      </c>
      <c r="E91" s="364">
        <f t="shared" si="29"/>
        <v>1.0000493980732499</v>
      </c>
      <c r="F91" s="365">
        <f t="shared" si="30"/>
        <v>9.9394204922459307E-3</v>
      </c>
      <c r="G91" s="364">
        <f t="shared" si="31"/>
        <v>1.0007689431273659</v>
      </c>
      <c r="H91" s="365">
        <f t="shared" si="32"/>
        <v>-3.9203334616231371E-2</v>
      </c>
      <c r="I91" s="363">
        <f t="shared" si="33"/>
        <v>5468.5533844574411</v>
      </c>
      <c r="J91" s="366">
        <f t="shared" si="34"/>
        <v>1.5706134630766022</v>
      </c>
      <c r="K91" s="374">
        <f t="shared" si="35"/>
        <v>1.9654114704817505</v>
      </c>
      <c r="L91" s="375">
        <f t="shared" si="36"/>
        <v>1.0370068279491589</v>
      </c>
      <c r="M91" s="363">
        <f t="shared" si="37"/>
        <v>1.001380742849356</v>
      </c>
      <c r="N91" s="366">
        <f t="shared" si="38"/>
        <v>5.251963461346882E-2</v>
      </c>
      <c r="O91" s="367">
        <f t="shared" si="39"/>
        <v>1.0002272465090001</v>
      </c>
      <c r="P91" s="368">
        <f t="shared" si="40"/>
        <v>2.6015966238561047E-2</v>
      </c>
      <c r="Q91" s="369">
        <f t="shared" si="41"/>
        <v>14.597317597960185</v>
      </c>
      <c r="R91" s="370">
        <f t="shared" si="42"/>
        <v>-98.491312342695721</v>
      </c>
      <c r="S91" s="372">
        <f t="shared" si="43"/>
        <v>81.508687657304279</v>
      </c>
      <c r="U91" s="345">
        <f t="shared" si="50"/>
        <v>1000000000</v>
      </c>
      <c r="V91" s="345">
        <f t="shared" si="51"/>
        <v>1737914.89</v>
      </c>
      <c r="X91" s="371">
        <f t="shared" si="44"/>
        <v>19.196310229434989</v>
      </c>
      <c r="Y91" s="372">
        <f t="shared" si="45"/>
        <v>-33.582561556274392</v>
      </c>
      <c r="AA91" s="371">
        <f t="shared" si="46"/>
        <v>52.902232636359201</v>
      </c>
      <c r="AB91" s="372">
        <f t="shared" si="47"/>
        <v>-64.908750786421351</v>
      </c>
      <c r="AD91">
        <f t="shared" si="52"/>
        <v>0</v>
      </c>
      <c r="AE91">
        <f t="shared" si="53"/>
        <v>0</v>
      </c>
    </row>
    <row r="92" spans="1:31" x14ac:dyDescent="0.2">
      <c r="A92" s="373">
        <v>1445.4</v>
      </c>
      <c r="B92" s="390">
        <f t="shared" si="49"/>
        <v>1.4454</v>
      </c>
      <c r="C92" s="363">
        <f t="shared" si="27"/>
        <v>2.2717284311906116</v>
      </c>
      <c r="D92" s="364">
        <f t="shared" si="28"/>
        <v>1.1149822063625672</v>
      </c>
      <c r="E92" s="364">
        <f t="shared" si="29"/>
        <v>1.0000593820844741</v>
      </c>
      <c r="F92" s="365">
        <f t="shared" si="30"/>
        <v>1.0897627824093897E-2</v>
      </c>
      <c r="G92" s="364">
        <f t="shared" si="31"/>
        <v>1.0009242896660648</v>
      </c>
      <c r="H92" s="365">
        <f t="shared" si="32"/>
        <v>-4.2978559793769799E-2</v>
      </c>
      <c r="I92" s="363">
        <f t="shared" si="33"/>
        <v>5995.7877870550628</v>
      </c>
      <c r="J92" s="366">
        <f t="shared" si="34"/>
        <v>1.5706295430393415</v>
      </c>
      <c r="K92" s="374">
        <f t="shared" si="35"/>
        <v>2.1074814665839194</v>
      </c>
      <c r="L92" s="375">
        <f t="shared" si="36"/>
        <v>1.0764003752179871</v>
      </c>
      <c r="M92" s="363">
        <f t="shared" si="37"/>
        <v>1.0016595865070588</v>
      </c>
      <c r="N92" s="366">
        <f t="shared" si="38"/>
        <v>5.7572468477451851E-2</v>
      </c>
      <c r="O92" s="367">
        <f t="shared" si="39"/>
        <v>1.0002731726617911</v>
      </c>
      <c r="P92" s="368">
        <f t="shared" si="40"/>
        <v>2.8523559303491985E-2</v>
      </c>
      <c r="Q92" s="369">
        <f t="shared" si="41"/>
        <v>13.770032976572466</v>
      </c>
      <c r="R92" s="370">
        <f t="shared" si="42"/>
        <v>-98.97206122767615</v>
      </c>
      <c r="S92" s="372">
        <f t="shared" si="43"/>
        <v>81.02793877232385</v>
      </c>
      <c r="U92" s="345">
        <f t="shared" si="50"/>
        <v>1000000000</v>
      </c>
      <c r="V92" s="345">
        <f t="shared" si="51"/>
        <v>2089181.1600000001</v>
      </c>
      <c r="X92" s="371">
        <f t="shared" si="44"/>
        <v>19.000621513589763</v>
      </c>
      <c r="Y92" s="372">
        <f t="shared" si="45"/>
        <v>-31.615904924460885</v>
      </c>
      <c r="AA92" s="371">
        <f t="shared" si="46"/>
        <v>52.270636730816705</v>
      </c>
      <c r="AB92" s="372">
        <f t="shared" si="47"/>
        <v>-67.356156303215286</v>
      </c>
      <c r="AD92">
        <f t="shared" si="52"/>
        <v>0</v>
      </c>
      <c r="AE92">
        <f t="shared" si="53"/>
        <v>0</v>
      </c>
    </row>
    <row r="93" spans="1:31" x14ac:dyDescent="0.2">
      <c r="A93" s="373">
        <v>1584.9</v>
      </c>
      <c r="B93" s="390">
        <f t="shared" si="49"/>
        <v>1.5849000000000002</v>
      </c>
      <c r="C93" s="363">
        <f t="shared" si="27"/>
        <v>2.450028588632065</v>
      </c>
      <c r="D93" s="364">
        <f t="shared" si="28"/>
        <v>1.1503603470530981</v>
      </c>
      <c r="E93" s="364">
        <f t="shared" si="29"/>
        <v>1.0000713970815152</v>
      </c>
      <c r="F93" s="365">
        <f t="shared" si="30"/>
        <v>1.1949295696491603E-2</v>
      </c>
      <c r="G93" s="364">
        <f t="shared" si="31"/>
        <v>1.0011112074884998</v>
      </c>
      <c r="H93" s="365">
        <f t="shared" si="32"/>
        <v>-4.7120685016307819E-2</v>
      </c>
      <c r="I93" s="363">
        <f t="shared" si="33"/>
        <v>6574.4596938295035</v>
      </c>
      <c r="J93" s="366">
        <f t="shared" si="34"/>
        <v>1.570644223040303</v>
      </c>
      <c r="K93" s="374">
        <f t="shared" si="35"/>
        <v>2.2666781869541954</v>
      </c>
      <c r="L93" s="375">
        <f t="shared" si="36"/>
        <v>1.1138896266923022</v>
      </c>
      <c r="M93" s="363">
        <f t="shared" si="37"/>
        <v>1.0019950544163634</v>
      </c>
      <c r="N93" s="366">
        <f t="shared" si="38"/>
        <v>6.3114866472607917E-2</v>
      </c>
      <c r="O93" s="367">
        <f t="shared" si="39"/>
        <v>1.0003284397707259</v>
      </c>
      <c r="P93" s="368">
        <f t="shared" si="40"/>
        <v>3.1275585628115263E-2</v>
      </c>
      <c r="Q93" s="369">
        <f t="shared" si="41"/>
        <v>12.944321775436967</v>
      </c>
      <c r="R93" s="370">
        <f t="shared" si="42"/>
        <v>-99.504250262329492</v>
      </c>
      <c r="S93" s="372">
        <f t="shared" si="43"/>
        <v>80.495749737670508</v>
      </c>
      <c r="U93" s="345">
        <f t="shared" si="50"/>
        <v>1000000000</v>
      </c>
      <c r="V93" s="345">
        <f t="shared" si="51"/>
        <v>2511908.0100000002</v>
      </c>
      <c r="X93" s="371">
        <f t="shared" si="44"/>
        <v>18.829958734809349</v>
      </c>
      <c r="Y93" s="372">
        <f t="shared" si="45"/>
        <v>-29.786326151389993</v>
      </c>
      <c r="AA93" s="371">
        <f t="shared" si="46"/>
        <v>51.615588308461618</v>
      </c>
      <c r="AB93" s="372">
        <f t="shared" si="47"/>
        <v>-69.717924110939492</v>
      </c>
      <c r="AD93">
        <f t="shared" si="52"/>
        <v>0</v>
      </c>
      <c r="AE93">
        <f t="shared" si="53"/>
        <v>0</v>
      </c>
    </row>
    <row r="94" spans="1:31" x14ac:dyDescent="0.2">
      <c r="A94" s="373">
        <v>1737.8</v>
      </c>
      <c r="B94" s="390">
        <f t="shared" si="49"/>
        <v>1.7378</v>
      </c>
      <c r="C94" s="363">
        <f t="shared" si="27"/>
        <v>2.6484785914946212</v>
      </c>
      <c r="D94" s="364">
        <f t="shared" si="28"/>
        <v>1.1836199992399574</v>
      </c>
      <c r="E94" s="364">
        <f t="shared" si="29"/>
        <v>1.0000858367328749</v>
      </c>
      <c r="F94" s="365">
        <f t="shared" si="30"/>
        <v>1.3101953546761915E-2</v>
      </c>
      <c r="G94" s="364">
        <f t="shared" si="31"/>
        <v>1.0013358025680599</v>
      </c>
      <c r="H94" s="365">
        <f t="shared" si="32"/>
        <v>-5.1658828622401558E-2</v>
      </c>
      <c r="I94" s="363">
        <f t="shared" si="33"/>
        <v>7208.7172904936369</v>
      </c>
      <c r="J94" s="366">
        <f t="shared" si="34"/>
        <v>1.5706576058598245</v>
      </c>
      <c r="K94" s="374">
        <f t="shared" si="35"/>
        <v>2.4443237037871395</v>
      </c>
      <c r="L94" s="375">
        <f t="shared" si="36"/>
        <v>1.149316612752711</v>
      </c>
      <c r="M94" s="363">
        <f t="shared" si="37"/>
        <v>1.0023980773187435</v>
      </c>
      <c r="N94" s="366">
        <f t="shared" si="38"/>
        <v>6.9185183280115956E-2</v>
      </c>
      <c r="O94" s="367">
        <f t="shared" si="39"/>
        <v>1.0003948577174782</v>
      </c>
      <c r="P94" s="368">
        <f t="shared" si="40"/>
        <v>3.4291687603904594E-2</v>
      </c>
      <c r="Q94" s="369">
        <f t="shared" si="41"/>
        <v>12.121238235411269</v>
      </c>
      <c r="R94" s="370">
        <f t="shared" si="42"/>
        <v>-100.0954254509131</v>
      </c>
      <c r="S94" s="372">
        <f t="shared" si="43"/>
        <v>79.904574549086902</v>
      </c>
      <c r="U94" s="345">
        <f t="shared" si="50"/>
        <v>1000000000</v>
      </c>
      <c r="V94" s="345">
        <f t="shared" si="51"/>
        <v>3019948.84</v>
      </c>
      <c r="X94" s="371">
        <f t="shared" si="44"/>
        <v>18.681884343654708</v>
      </c>
      <c r="Y94" s="372">
        <f t="shared" si="45"/>
        <v>-28.105079679792762</v>
      </c>
      <c r="AA94" s="371">
        <f t="shared" si="46"/>
        <v>50.940579159590563</v>
      </c>
      <c r="AB94" s="372">
        <f t="shared" si="47"/>
        <v>-71.990345771120346</v>
      </c>
      <c r="AD94">
        <f t="shared" si="52"/>
        <v>0</v>
      </c>
      <c r="AE94">
        <f t="shared" si="53"/>
        <v>0</v>
      </c>
    </row>
    <row r="95" spans="1:31" x14ac:dyDescent="0.2">
      <c r="A95" s="373">
        <v>1905.5</v>
      </c>
      <c r="B95" s="390">
        <f t="shared" si="49"/>
        <v>1.9055</v>
      </c>
      <c r="C95" s="363">
        <f t="shared" si="27"/>
        <v>2.8690156783211318</v>
      </c>
      <c r="D95" s="364">
        <f t="shared" si="28"/>
        <v>1.2147709767472521</v>
      </c>
      <c r="E95" s="364">
        <f t="shared" si="29"/>
        <v>1.0001032019085525</v>
      </c>
      <c r="F95" s="365">
        <f t="shared" si="30"/>
        <v>1.4366143101455517E-2</v>
      </c>
      <c r="G95" s="364">
        <f t="shared" si="31"/>
        <v>1.0016058389954829</v>
      </c>
      <c r="H95" s="365">
        <f t="shared" si="32"/>
        <v>-5.6633788566350172E-2</v>
      </c>
      <c r="I95" s="363">
        <f t="shared" si="33"/>
        <v>7904.3680370559414</v>
      </c>
      <c r="J95" s="366">
        <f t="shared" si="34"/>
        <v>1.5706698144667788</v>
      </c>
      <c r="K95" s="374">
        <f t="shared" si="35"/>
        <v>2.642192134226319</v>
      </c>
      <c r="L95" s="375">
        <f t="shared" si="36"/>
        <v>1.182649645663636</v>
      </c>
      <c r="M95" s="363">
        <f t="shared" si="37"/>
        <v>1.0028825472795539</v>
      </c>
      <c r="N95" s="366">
        <f t="shared" si="38"/>
        <v>7.5837194523777726E-2</v>
      </c>
      <c r="O95" s="367">
        <f t="shared" si="39"/>
        <v>1.0004747290043754</v>
      </c>
      <c r="P95" s="368">
        <f t="shared" si="40"/>
        <v>3.7599369279361292E-2</v>
      </c>
      <c r="Q95" s="369">
        <f t="shared" si="41"/>
        <v>11.300041925315586</v>
      </c>
      <c r="R95" s="370">
        <f t="shared" si="42"/>
        <v>-100.75436223958479</v>
      </c>
      <c r="S95" s="372">
        <f t="shared" si="43"/>
        <v>79.245637760415207</v>
      </c>
      <c r="U95" s="345">
        <f t="shared" si="50"/>
        <v>1000000000</v>
      </c>
      <c r="V95" s="345">
        <f t="shared" si="51"/>
        <v>3630930.25</v>
      </c>
      <c r="X95" s="371">
        <f t="shared" si="44"/>
        <v>18.553617701613973</v>
      </c>
      <c r="Y95" s="372">
        <f t="shared" si="45"/>
        <v>-26.577069245067683</v>
      </c>
      <c r="AA95" s="371">
        <f t="shared" si="46"/>
        <v>50.247649491535626</v>
      </c>
      <c r="AB95" s="372">
        <f t="shared" si="47"/>
        <v>-74.177292994517103</v>
      </c>
      <c r="AD95">
        <f t="shared" si="52"/>
        <v>0</v>
      </c>
      <c r="AE95">
        <f t="shared" si="53"/>
        <v>0</v>
      </c>
    </row>
    <row r="96" spans="1:31" x14ac:dyDescent="0.2">
      <c r="A96" s="373">
        <v>2089.3000000000002</v>
      </c>
      <c r="B96" s="390">
        <f t="shared" si="49"/>
        <v>2.0893000000000002</v>
      </c>
      <c r="C96" s="363">
        <f t="shared" si="27"/>
        <v>3.1134465793772184</v>
      </c>
      <c r="D96" s="364">
        <f t="shared" si="28"/>
        <v>1.2438132083001174</v>
      </c>
      <c r="E96" s="364">
        <f t="shared" si="29"/>
        <v>1.0001240700336609</v>
      </c>
      <c r="F96" s="365">
        <f t="shared" si="30"/>
        <v>1.5751647990471473E-2</v>
      </c>
      <c r="G96" s="364">
        <f t="shared" si="31"/>
        <v>1.0019302578076958</v>
      </c>
      <c r="H96" s="365">
        <f t="shared" si="32"/>
        <v>-6.2083137818794772E-2</v>
      </c>
      <c r="I96" s="363">
        <f t="shared" si="33"/>
        <v>8666.8045749623834</v>
      </c>
      <c r="J96" s="366">
        <f t="shared" si="34"/>
        <v>1.570680944015284</v>
      </c>
      <c r="K96" s="374">
        <f t="shared" si="35"/>
        <v>2.8619380268800851</v>
      </c>
      <c r="L96" s="375">
        <f t="shared" si="36"/>
        <v>1.2138511700416226</v>
      </c>
      <c r="M96" s="363">
        <f t="shared" si="37"/>
        <v>1.0034644474947474</v>
      </c>
      <c r="N96" s="366">
        <f t="shared" si="38"/>
        <v>8.3120093575432333E-2</v>
      </c>
      <c r="O96" s="367">
        <f t="shared" si="39"/>
        <v>1.0005707075611749</v>
      </c>
      <c r="P96" s="368">
        <f t="shared" si="40"/>
        <v>4.122412370880324E-2</v>
      </c>
      <c r="Q96" s="369">
        <f t="shared" si="41"/>
        <v>10.481074147103882</v>
      </c>
      <c r="R96" s="370">
        <f t="shared" si="42"/>
        <v>-101.48908519044974</v>
      </c>
      <c r="S96" s="372">
        <f t="shared" si="43"/>
        <v>78.510914809550258</v>
      </c>
      <c r="U96" s="345">
        <f t="shared" si="50"/>
        <v>1000000000</v>
      </c>
      <c r="V96" s="345">
        <f t="shared" si="51"/>
        <v>4365174.4900000012</v>
      </c>
      <c r="X96" s="371">
        <f t="shared" si="44"/>
        <v>18.442658955454757</v>
      </c>
      <c r="Y96" s="372">
        <f t="shared" si="45"/>
        <v>-25.207270636706156</v>
      </c>
      <c r="AA96" s="371">
        <f t="shared" si="46"/>
        <v>49.539640459483124</v>
      </c>
      <c r="AB96" s="372">
        <f t="shared" si="47"/>
        <v>-76.281814553743601</v>
      </c>
      <c r="AD96">
        <f t="shared" si="52"/>
        <v>0</v>
      </c>
      <c r="AE96">
        <f t="shared" si="53"/>
        <v>0</v>
      </c>
    </row>
    <row r="97" spans="1:31" x14ac:dyDescent="0.2">
      <c r="A97" s="373">
        <v>2290.9</v>
      </c>
      <c r="B97" s="390">
        <f t="shared" si="49"/>
        <v>2.2909000000000002</v>
      </c>
      <c r="C97" s="363">
        <f t="shared" si="27"/>
        <v>3.3841102156728629</v>
      </c>
      <c r="D97" s="364">
        <f t="shared" si="28"/>
        <v>1.2708188912423917</v>
      </c>
      <c r="E97" s="364">
        <f t="shared" si="29"/>
        <v>1.0001491667771727</v>
      </c>
      <c r="F97" s="365">
        <f t="shared" si="30"/>
        <v>1.7271261520783815E-2</v>
      </c>
      <c r="G97" s="364">
        <f t="shared" si="31"/>
        <v>1.0023202852020616</v>
      </c>
      <c r="H97" s="365">
        <f t="shared" si="32"/>
        <v>-6.8055971538320589E-2</v>
      </c>
      <c r="I97" s="363">
        <f t="shared" si="33"/>
        <v>9503.0788199605831</v>
      </c>
      <c r="J97" s="366">
        <f t="shared" si="34"/>
        <v>1.5706910977401038</v>
      </c>
      <c r="K97" s="374">
        <f t="shared" si="35"/>
        <v>3.1056918858682394</v>
      </c>
      <c r="L97" s="375">
        <f t="shared" si="36"/>
        <v>1.2429662341889942</v>
      </c>
      <c r="M97" s="363">
        <f t="shared" si="37"/>
        <v>1.0041638306687544</v>
      </c>
      <c r="N97" s="366">
        <f t="shared" si="38"/>
        <v>9.1098121976886215E-2</v>
      </c>
      <c r="O97" s="367">
        <f t="shared" si="39"/>
        <v>1.0006861281421204</v>
      </c>
      <c r="P97" s="368">
        <f t="shared" si="40"/>
        <v>4.5199281945951679E-2</v>
      </c>
      <c r="Q97" s="369">
        <f t="shared" si="41"/>
        <v>9.6634137558373308</v>
      </c>
      <c r="R97" s="370">
        <f t="shared" si="42"/>
        <v>-102.3088261847371</v>
      </c>
      <c r="S97" s="372">
        <f t="shared" si="43"/>
        <v>77.6911738152629</v>
      </c>
      <c r="U97" s="345">
        <f t="shared" si="50"/>
        <v>1000000000</v>
      </c>
      <c r="V97" s="345">
        <f t="shared" si="51"/>
        <v>5248222.8100000005</v>
      </c>
      <c r="X97" s="371">
        <f t="shared" si="44"/>
        <v>18.346463566303168</v>
      </c>
      <c r="Y97" s="372">
        <f t="shared" si="45"/>
        <v>-23.99678946124325</v>
      </c>
      <c r="AA97" s="371">
        <f t="shared" si="46"/>
        <v>48.818175457368163</v>
      </c>
      <c r="AB97" s="372">
        <f t="shared" si="47"/>
        <v>-78.312036723493861</v>
      </c>
      <c r="AD97">
        <f t="shared" si="52"/>
        <v>0</v>
      </c>
      <c r="AE97">
        <f t="shared" si="53"/>
        <v>0</v>
      </c>
    </row>
    <row r="98" spans="1:31" x14ac:dyDescent="0.2">
      <c r="A98" s="373">
        <v>2511.9</v>
      </c>
      <c r="B98" s="390">
        <f t="shared" si="49"/>
        <v>2.5119000000000002</v>
      </c>
      <c r="C98" s="363">
        <f t="shared" si="27"/>
        <v>3.6832175551791169</v>
      </c>
      <c r="D98" s="364">
        <f t="shared" si="28"/>
        <v>1.2958432809658964</v>
      </c>
      <c r="E98" s="364">
        <f t="shared" si="29"/>
        <v>1.0001793320794103</v>
      </c>
      <c r="F98" s="365">
        <f t="shared" si="30"/>
        <v>1.8937015790002835E-2</v>
      </c>
      <c r="G98" s="364">
        <f t="shared" si="31"/>
        <v>1.0027888950414543</v>
      </c>
      <c r="H98" s="365">
        <f t="shared" si="32"/>
        <v>-7.4597973383313046E-2</v>
      </c>
      <c r="I98" s="363">
        <f t="shared" si="33"/>
        <v>10419.827869233226</v>
      </c>
      <c r="J98" s="366">
        <f t="shared" si="34"/>
        <v>1.5707003559195536</v>
      </c>
      <c r="K98" s="374">
        <f t="shared" si="35"/>
        <v>3.3754676773982757</v>
      </c>
      <c r="L98" s="375">
        <f t="shared" si="36"/>
        <v>1.2700268337438876</v>
      </c>
      <c r="M98" s="363">
        <f t="shared" si="37"/>
        <v>1.0050038409650817</v>
      </c>
      <c r="N98" s="366">
        <f t="shared" si="38"/>
        <v>9.9830499537223491E-2</v>
      </c>
      <c r="O98" s="367">
        <f t="shared" si="39"/>
        <v>1.0008248495979946</v>
      </c>
      <c r="P98" s="368">
        <f t="shared" si="40"/>
        <v>4.9556135895286818E-2</v>
      </c>
      <c r="Q98" s="369">
        <f t="shared" si="41"/>
        <v>8.8471986927142172</v>
      </c>
      <c r="R98" s="370">
        <f t="shared" si="42"/>
        <v>-103.22203653937405</v>
      </c>
      <c r="S98" s="372">
        <f t="shared" si="43"/>
        <v>76.777963460625955</v>
      </c>
      <c r="U98" s="345">
        <f t="shared" si="50"/>
        <v>1000000000</v>
      </c>
      <c r="V98" s="345">
        <f t="shared" si="51"/>
        <v>6309641.6100000003</v>
      </c>
      <c r="X98" s="371">
        <f t="shared" si="44"/>
        <v>18.262788080635215</v>
      </c>
      <c r="Y98" s="372">
        <f t="shared" si="45"/>
        <v>-22.947190148385435</v>
      </c>
      <c r="AA98" s="371">
        <f t="shared" si="46"/>
        <v>48.085635879913006</v>
      </c>
      <c r="AB98" s="372">
        <f t="shared" si="47"/>
        <v>-80.274846390988586</v>
      </c>
      <c r="AD98">
        <f t="shared" si="52"/>
        <v>0</v>
      </c>
      <c r="AE98">
        <f t="shared" si="53"/>
        <v>0</v>
      </c>
    </row>
    <row r="99" spans="1:31" x14ac:dyDescent="0.2">
      <c r="A99" s="373">
        <v>2754.2</v>
      </c>
      <c r="B99" s="390">
        <f t="shared" si="49"/>
        <v>2.7542</v>
      </c>
      <c r="C99" s="363">
        <f t="shared" si="27"/>
        <v>4.0133884513312745</v>
      </c>
      <c r="D99" s="364">
        <f t="shared" si="28"/>
        <v>1.3189773138237326</v>
      </c>
      <c r="E99" s="364">
        <f t="shared" si="29"/>
        <v>1.0002155938494581</v>
      </c>
      <c r="F99" s="365">
        <f t="shared" si="30"/>
        <v>2.0763194487337159E-2</v>
      </c>
      <c r="G99" s="364">
        <f t="shared" si="31"/>
        <v>1.0033519408770128</v>
      </c>
      <c r="H99" s="365">
        <f t="shared" si="32"/>
        <v>-8.1763129307099489E-2</v>
      </c>
      <c r="I99" s="363">
        <f t="shared" si="33"/>
        <v>11424.933275692216</v>
      </c>
      <c r="J99" s="366">
        <f t="shared" si="34"/>
        <v>1.5707087989313069</v>
      </c>
      <c r="K99" s="374">
        <f t="shared" si="35"/>
        <v>3.6736465585448137</v>
      </c>
      <c r="L99" s="375">
        <f t="shared" si="36"/>
        <v>1.2951082514988916</v>
      </c>
      <c r="M99" s="363">
        <f t="shared" si="37"/>
        <v>1.0060127241491159</v>
      </c>
      <c r="N99" s="366">
        <f t="shared" si="38"/>
        <v>0.10938693292311741</v>
      </c>
      <c r="O99" s="367">
        <f t="shared" si="39"/>
        <v>1.000991593130298</v>
      </c>
      <c r="P99" s="368">
        <f t="shared" si="40"/>
        <v>5.4331804715204393E-2</v>
      </c>
      <c r="Q99" s="369">
        <f t="shared" si="41"/>
        <v>8.0319564237641909</v>
      </c>
      <c r="R99" s="370">
        <f t="shared" si="42"/>
        <v>-104.23801318371487</v>
      </c>
      <c r="S99" s="372">
        <f t="shared" si="43"/>
        <v>75.76198681628513</v>
      </c>
      <c r="U99" s="345">
        <f t="shared" si="50"/>
        <v>1000000000</v>
      </c>
      <c r="V99" s="345">
        <f t="shared" si="51"/>
        <v>7585617.6399999987</v>
      </c>
      <c r="X99" s="371">
        <f t="shared" si="44"/>
        <v>18.189478820309724</v>
      </c>
      <c r="Y99" s="372">
        <f t="shared" si="45"/>
        <v>-22.058157814952828</v>
      </c>
      <c r="AA99" s="371">
        <f t="shared" si="46"/>
        <v>47.343702871288471</v>
      </c>
      <c r="AB99" s="372">
        <f t="shared" si="47"/>
        <v>-82.179855368762034</v>
      </c>
      <c r="AD99">
        <f t="shared" si="52"/>
        <v>0</v>
      </c>
      <c r="AE99">
        <f t="shared" si="53"/>
        <v>0</v>
      </c>
    </row>
    <row r="100" spans="1:31" x14ac:dyDescent="0.2">
      <c r="A100" s="373">
        <v>3020</v>
      </c>
      <c r="B100" s="390">
        <f t="shared" si="49"/>
        <v>3.02</v>
      </c>
      <c r="C100" s="363">
        <f t="shared" si="27"/>
        <v>4.3776606800564473</v>
      </c>
      <c r="D100" s="364">
        <f t="shared" si="28"/>
        <v>1.3403290132708534</v>
      </c>
      <c r="E100" s="364">
        <f t="shared" si="29"/>
        <v>1.0002592088559337</v>
      </c>
      <c r="F100" s="365">
        <f t="shared" si="30"/>
        <v>2.2766329405052965E-2</v>
      </c>
      <c r="G100" s="364">
        <f t="shared" si="31"/>
        <v>1.004028771040391</v>
      </c>
      <c r="H100" s="365">
        <f t="shared" si="32"/>
        <v>-8.9613520721470913E-2</v>
      </c>
      <c r="I100" s="363">
        <f t="shared" si="33"/>
        <v>12527.521047981048</v>
      </c>
      <c r="J100" s="366">
        <f t="shared" si="34"/>
        <v>1.570716502542578</v>
      </c>
      <c r="K100" s="374">
        <f t="shared" si="35"/>
        <v>4.0029868829373179</v>
      </c>
      <c r="L100" s="375">
        <f t="shared" si="36"/>
        <v>1.3183087254648025</v>
      </c>
      <c r="M100" s="363">
        <f t="shared" si="37"/>
        <v>1.007224900414416</v>
      </c>
      <c r="N100" s="366">
        <f t="shared" si="38"/>
        <v>0.11984713263851009</v>
      </c>
      <c r="O100" s="367">
        <f t="shared" si="39"/>
        <v>1.0011921293017114</v>
      </c>
      <c r="P100" s="368">
        <f t="shared" si="40"/>
        <v>5.9569203337757407E-2</v>
      </c>
      <c r="Q100" s="369">
        <f t="shared" si="41"/>
        <v>7.2168814656942821</v>
      </c>
      <c r="R100" s="370">
        <f t="shared" si="42"/>
        <v>-105.36695684446443</v>
      </c>
      <c r="S100" s="372">
        <f t="shared" si="43"/>
        <v>74.633043155535574</v>
      </c>
      <c r="U100" s="345">
        <f t="shared" si="50"/>
        <v>1000000000</v>
      </c>
      <c r="V100" s="345">
        <f t="shared" si="51"/>
        <v>9120400</v>
      </c>
      <c r="X100" s="371">
        <f t="shared" si="44"/>
        <v>18.124525775160475</v>
      </c>
      <c r="Y100" s="372">
        <f t="shared" si="45"/>
        <v>-21.328635254138177</v>
      </c>
      <c r="AA100" s="371">
        <f t="shared" si="46"/>
        <v>46.593580958367802</v>
      </c>
      <c r="AB100" s="372">
        <f t="shared" si="47"/>
        <v>-84.03832159032622</v>
      </c>
      <c r="AD100">
        <f t="shared" si="52"/>
        <v>0</v>
      </c>
      <c r="AE100">
        <f t="shared" si="53"/>
        <v>0</v>
      </c>
    </row>
    <row r="101" spans="1:31" x14ac:dyDescent="0.2">
      <c r="A101" s="373">
        <v>3311.3</v>
      </c>
      <c r="B101" s="390">
        <f t="shared" si="49"/>
        <v>3.3113000000000001</v>
      </c>
      <c r="C101" s="363">
        <f t="shared" si="27"/>
        <v>4.7788053414840119</v>
      </c>
      <c r="D101" s="364">
        <f t="shared" si="28"/>
        <v>1.3599809232813955</v>
      </c>
      <c r="E101" s="364">
        <f t="shared" si="29"/>
        <v>1.0003116173491504</v>
      </c>
      <c r="F101" s="365">
        <f t="shared" si="30"/>
        <v>2.4961428225123063E-2</v>
      </c>
      <c r="G101" s="364">
        <f t="shared" si="31"/>
        <v>1.0048414970130792</v>
      </c>
      <c r="H101" s="365">
        <f t="shared" si="32"/>
        <v>-9.8204317255822515E-2</v>
      </c>
      <c r="I101" s="363">
        <f t="shared" si="33"/>
        <v>13735.887557599215</v>
      </c>
      <c r="J101" s="366">
        <f t="shared" si="34"/>
        <v>1.5707235248010909</v>
      </c>
      <c r="K101" s="374">
        <f t="shared" si="35"/>
        <v>4.3660056762794577</v>
      </c>
      <c r="L101" s="375">
        <f t="shared" si="36"/>
        <v>1.3397026080611536</v>
      </c>
      <c r="M101" s="363">
        <f t="shared" si="37"/>
        <v>1.0086796138000398</v>
      </c>
      <c r="N101" s="366">
        <f t="shared" si="38"/>
        <v>0.13128058159312145</v>
      </c>
      <c r="O101" s="367">
        <f t="shared" si="39"/>
        <v>1.0014330679801242</v>
      </c>
      <c r="P101" s="368">
        <f t="shared" si="40"/>
        <v>6.5307153518662328E-2</v>
      </c>
      <c r="Q101" s="369">
        <f t="shared" si="41"/>
        <v>6.4023647755496267</v>
      </c>
      <c r="R101" s="370">
        <f t="shared" si="42"/>
        <v>-106.6178466993443</v>
      </c>
      <c r="S101" s="372">
        <f t="shared" si="43"/>
        <v>73.382153300655702</v>
      </c>
      <c r="U101" s="345">
        <f t="shared" si="50"/>
        <v>1000000000</v>
      </c>
      <c r="V101" s="345">
        <f t="shared" si="51"/>
        <v>10964707.690000001</v>
      </c>
      <c r="X101" s="371">
        <f t="shared" si="44"/>
        <v>18.066160842327612</v>
      </c>
      <c r="Y101" s="372">
        <f t="shared" si="45"/>
        <v>-20.758346789470167</v>
      </c>
      <c r="AA101" s="371">
        <f t="shared" si="46"/>
        <v>45.837429201056011</v>
      </c>
      <c r="AB101" s="372">
        <f t="shared" si="47"/>
        <v>-85.859499909874145</v>
      </c>
      <c r="AD101">
        <f t="shared" si="52"/>
        <v>0</v>
      </c>
      <c r="AE101">
        <f t="shared" si="53"/>
        <v>0</v>
      </c>
    </row>
    <row r="102" spans="1:31" x14ac:dyDescent="0.2">
      <c r="A102" s="373">
        <v>3630.8</v>
      </c>
      <c r="B102" s="390">
        <f t="shared" si="49"/>
        <v>3.6308000000000002</v>
      </c>
      <c r="C102" s="363">
        <f t="shared" si="27"/>
        <v>5.2205635862253086</v>
      </c>
      <c r="D102" s="364">
        <f t="shared" si="28"/>
        <v>1.3780549758745333</v>
      </c>
      <c r="E102" s="364">
        <f t="shared" si="29"/>
        <v>1.0003746412044572</v>
      </c>
      <c r="F102" s="365">
        <f t="shared" si="30"/>
        <v>2.7368751468684262E-2</v>
      </c>
      <c r="G102" s="364">
        <f t="shared" si="31"/>
        <v>1.005818027587589</v>
      </c>
      <c r="H102" s="365">
        <f t="shared" si="32"/>
        <v>-0.10761002792656389</v>
      </c>
      <c r="I102" s="363">
        <f t="shared" si="33"/>
        <v>15061.232906077495</v>
      </c>
      <c r="J102" s="366">
        <f t="shared" si="34"/>
        <v>1.5707299311679934</v>
      </c>
      <c r="K102" s="374">
        <f t="shared" si="35"/>
        <v>4.7660976372702395</v>
      </c>
      <c r="L102" s="375">
        <f t="shared" si="36"/>
        <v>1.3594103198106342</v>
      </c>
      <c r="M102" s="363">
        <f t="shared" si="37"/>
        <v>1.0104263070455641</v>
      </c>
      <c r="N102" s="366">
        <f t="shared" si="38"/>
        <v>0.14378119408917342</v>
      </c>
      <c r="O102" s="367">
        <f t="shared" si="39"/>
        <v>1.0017227672727298</v>
      </c>
      <c r="P102" s="368">
        <f t="shared" si="40"/>
        <v>7.1598066696326512E-2</v>
      </c>
      <c r="Q102" s="369">
        <f t="shared" si="41"/>
        <v>5.5873445603952536</v>
      </c>
      <c r="R102" s="370">
        <f t="shared" si="42"/>
        <v>-108.00226515858093</v>
      </c>
      <c r="S102" s="372">
        <f t="shared" si="43"/>
        <v>71.997734841419074</v>
      </c>
      <c r="U102" s="345">
        <f t="shared" si="50"/>
        <v>1000000000</v>
      </c>
      <c r="V102" s="345">
        <f t="shared" si="51"/>
        <v>13182708.640000001</v>
      </c>
      <c r="X102" s="371">
        <f t="shared" si="44"/>
        <v>18.01262964597246</v>
      </c>
      <c r="Y102" s="372">
        <f t="shared" si="45"/>
        <v>-20.345777477030911</v>
      </c>
      <c r="AA102" s="371">
        <f t="shared" si="46"/>
        <v>45.075940182256801</v>
      </c>
      <c r="AB102" s="372">
        <f t="shared" si="47"/>
        <v>-87.656487681550018</v>
      </c>
      <c r="AD102">
        <f t="shared" si="52"/>
        <v>0</v>
      </c>
      <c r="AE102">
        <f t="shared" si="53"/>
        <v>0</v>
      </c>
    </row>
    <row r="103" spans="1:31" x14ac:dyDescent="0.2">
      <c r="A103" s="373">
        <v>3981.1</v>
      </c>
      <c r="B103" s="390">
        <f t="shared" si="49"/>
        <v>3.9811000000000001</v>
      </c>
      <c r="C103" s="363">
        <f t="shared" si="27"/>
        <v>5.7065490931170748</v>
      </c>
      <c r="D103" s="364">
        <f t="shared" si="28"/>
        <v>1.3946495796187652</v>
      </c>
      <c r="E103" s="364">
        <f t="shared" si="29"/>
        <v>1.000450402313698</v>
      </c>
      <c r="F103" s="365">
        <f t="shared" si="30"/>
        <v>3.0007776551301053E-2</v>
      </c>
      <c r="G103" s="364">
        <f t="shared" si="31"/>
        <v>1.0069907449306592</v>
      </c>
      <c r="H103" s="365">
        <f t="shared" si="32"/>
        <v>-0.11790047478516959</v>
      </c>
      <c r="I103" s="363">
        <f t="shared" si="33"/>
        <v>16514.342376377102</v>
      </c>
      <c r="J103" s="366">
        <f t="shared" si="34"/>
        <v>1.5707357733694063</v>
      </c>
      <c r="K103" s="374">
        <f t="shared" si="35"/>
        <v>5.2065429160880932</v>
      </c>
      <c r="L103" s="375">
        <f t="shared" si="36"/>
        <v>1.3775293926161141</v>
      </c>
      <c r="M103" s="363">
        <f t="shared" si="37"/>
        <v>1.0125221677039635</v>
      </c>
      <c r="N103" s="366">
        <f t="shared" si="38"/>
        <v>0.15743492859630406</v>
      </c>
      <c r="O103" s="367">
        <f t="shared" si="39"/>
        <v>1.0020709553142011</v>
      </c>
      <c r="P103" s="368">
        <f t="shared" si="40"/>
        <v>7.8492118345597911E-2</v>
      </c>
      <c r="Q103" s="369">
        <f t="shared" si="41"/>
        <v>4.7716989068051827</v>
      </c>
      <c r="R103" s="370">
        <f t="shared" si="42"/>
        <v>-109.53094985074179</v>
      </c>
      <c r="S103" s="372">
        <f t="shared" si="43"/>
        <v>70.469050149258209</v>
      </c>
      <c r="U103" s="345">
        <f t="shared" si="50"/>
        <v>1000000000</v>
      </c>
      <c r="V103" s="345">
        <f t="shared" si="51"/>
        <v>15849157.209999999</v>
      </c>
      <c r="X103" s="371">
        <f t="shared" si="44"/>
        <v>17.962346894373709</v>
      </c>
      <c r="Y103" s="372">
        <f t="shared" si="45"/>
        <v>-20.090267171629439</v>
      </c>
      <c r="AA103" s="371">
        <f t="shared" si="46"/>
        <v>44.310577280265477</v>
      </c>
      <c r="AB103" s="372">
        <f t="shared" si="47"/>
        <v>-89.440682679112356</v>
      </c>
      <c r="AD103">
        <f t="shared" si="52"/>
        <v>0</v>
      </c>
      <c r="AE103">
        <f t="shared" si="53"/>
        <v>0</v>
      </c>
    </row>
    <row r="104" spans="1:31" x14ac:dyDescent="0.2">
      <c r="A104" s="373">
        <v>4365.2</v>
      </c>
      <c r="B104" s="390">
        <f t="shared" si="49"/>
        <v>4.3651999999999997</v>
      </c>
      <c r="C104" s="363">
        <f t="shared" si="27"/>
        <v>6.2409377900417935</v>
      </c>
      <c r="D104" s="364">
        <f t="shared" si="28"/>
        <v>1.4098703077492152</v>
      </c>
      <c r="E104" s="364">
        <f t="shared" si="29"/>
        <v>1.0005414806730948</v>
      </c>
      <c r="F104" s="365">
        <f t="shared" si="30"/>
        <v>3.2900955958967151E-2</v>
      </c>
      <c r="G104" s="364">
        <f t="shared" si="31"/>
        <v>1.0083988722819108</v>
      </c>
      <c r="H104" s="365">
        <f t="shared" si="32"/>
        <v>-0.12915499463742433</v>
      </c>
      <c r="I104" s="363">
        <f t="shared" si="33"/>
        <v>18107.66052576575</v>
      </c>
      <c r="J104" s="366">
        <f t="shared" si="34"/>
        <v>1.5707411015492563</v>
      </c>
      <c r="K104" s="374">
        <f t="shared" si="35"/>
        <v>5.6911317183544101</v>
      </c>
      <c r="L104" s="375">
        <f t="shared" si="36"/>
        <v>1.394167376965175</v>
      </c>
      <c r="M104" s="363">
        <f t="shared" si="37"/>
        <v>1.0150362468071905</v>
      </c>
      <c r="N104" s="366">
        <f t="shared" si="38"/>
        <v>0.17233818935410028</v>
      </c>
      <c r="O104" s="367">
        <f t="shared" si="39"/>
        <v>1.0024894526732357</v>
      </c>
      <c r="P104" s="368">
        <f t="shared" si="40"/>
        <v>8.6047011173924881E-2</v>
      </c>
      <c r="Q104" s="369">
        <f t="shared" si="41"/>
        <v>3.954896672066373</v>
      </c>
      <c r="R104" s="370">
        <f t="shared" si="42"/>
        <v>-111.2158792697583</v>
      </c>
      <c r="S104" s="372">
        <f t="shared" si="43"/>
        <v>68.784120730241696</v>
      </c>
      <c r="U104" s="345">
        <f t="shared" si="50"/>
        <v>1000000000</v>
      </c>
      <c r="V104" s="345">
        <f t="shared" si="51"/>
        <v>19054971.039999999</v>
      </c>
      <c r="X104" s="371">
        <f t="shared" si="44"/>
        <v>17.913769176071774</v>
      </c>
      <c r="Y104" s="372">
        <f t="shared" si="45"/>
        <v>-19.991180113332856</v>
      </c>
      <c r="AA104" s="371">
        <f t="shared" si="46"/>
        <v>43.542352763828603</v>
      </c>
      <c r="AB104" s="372">
        <f t="shared" si="47"/>
        <v>-91.224699156425473</v>
      </c>
      <c r="AD104">
        <f t="shared" si="52"/>
        <v>0</v>
      </c>
      <c r="AE104">
        <f t="shared" si="53"/>
        <v>0</v>
      </c>
    </row>
    <row r="105" spans="1:31" x14ac:dyDescent="0.2">
      <c r="A105" s="373">
        <v>4786.3</v>
      </c>
      <c r="B105" s="390">
        <f t="shared" si="49"/>
        <v>4.7862999999999998</v>
      </c>
      <c r="C105" s="363">
        <f t="shared" si="27"/>
        <v>6.828192315105361</v>
      </c>
      <c r="D105" s="364">
        <f t="shared" si="28"/>
        <v>1.4238160451981561</v>
      </c>
      <c r="E105" s="364">
        <f t="shared" si="29"/>
        <v>1.0006509546514071</v>
      </c>
      <c r="F105" s="365">
        <f t="shared" si="30"/>
        <v>3.6072197857851679E-2</v>
      </c>
      <c r="G105" s="364">
        <f t="shared" si="31"/>
        <v>1.0100889786520695</v>
      </c>
      <c r="H105" s="365">
        <f t="shared" si="32"/>
        <v>-0.14145585635920571</v>
      </c>
      <c r="I105" s="363">
        <f t="shared" si="33"/>
        <v>19854.461548666794</v>
      </c>
      <c r="J105" s="366">
        <f t="shared" si="34"/>
        <v>1.5707459602816587</v>
      </c>
      <c r="K105" s="374">
        <f t="shared" si="35"/>
        <v>6.2239151185126129</v>
      </c>
      <c r="L105" s="375">
        <f t="shared" si="36"/>
        <v>1.4094263130219931</v>
      </c>
      <c r="M105" s="363">
        <f t="shared" si="37"/>
        <v>1.0180501944022484</v>
      </c>
      <c r="N105" s="366">
        <f t="shared" si="38"/>
        <v>0.18858846084491582</v>
      </c>
      <c r="O105" s="367">
        <f t="shared" si="39"/>
        <v>1.0029923511940642</v>
      </c>
      <c r="P105" s="368">
        <f t="shared" si="40"/>
        <v>9.4323926234216787E-2</v>
      </c>
      <c r="Q105" s="369">
        <f t="shared" si="41"/>
        <v>3.1365508916061469</v>
      </c>
      <c r="R105" s="370">
        <f t="shared" si="42"/>
        <v>-113.06930987596225</v>
      </c>
      <c r="S105" s="372">
        <f t="shared" si="43"/>
        <v>66.930690124037753</v>
      </c>
      <c r="U105" s="345">
        <f t="shared" si="50"/>
        <v>1000000000</v>
      </c>
      <c r="V105" s="345">
        <f t="shared" si="51"/>
        <v>22908667.690000001</v>
      </c>
      <c r="X105" s="371">
        <f t="shared" si="44"/>
        <v>17.865401460894535</v>
      </c>
      <c r="Y105" s="372">
        <f t="shared" si="45"/>
        <v>-20.048257834708341</v>
      </c>
      <c r="AA105" s="371">
        <f t="shared" si="46"/>
        <v>42.772374698545612</v>
      </c>
      <c r="AB105" s="372">
        <f t="shared" si="47"/>
        <v>-93.021052041253924</v>
      </c>
      <c r="AD105">
        <f t="shared" si="52"/>
        <v>0</v>
      </c>
      <c r="AE105">
        <f t="shared" si="53"/>
        <v>0</v>
      </c>
    </row>
    <row r="106" spans="1:31" x14ac:dyDescent="0.2">
      <c r="A106" s="373">
        <v>5248.1</v>
      </c>
      <c r="B106" s="390">
        <f t="shared" si="49"/>
        <v>5.2481</v>
      </c>
      <c r="C106" s="363">
        <f t="shared" si="27"/>
        <v>7.4734809465516001</v>
      </c>
      <c r="D106" s="364">
        <f t="shared" si="28"/>
        <v>1.4365873368413238</v>
      </c>
      <c r="E106" s="364">
        <f t="shared" si="29"/>
        <v>1.0007825760175795</v>
      </c>
      <c r="F106" s="365">
        <f t="shared" si="30"/>
        <v>3.9549108809389624E-2</v>
      </c>
      <c r="G106" s="364">
        <f t="shared" si="31"/>
        <v>1.0121175135825282</v>
      </c>
      <c r="H106" s="365">
        <f t="shared" si="32"/>
        <v>-0.15489611907753026</v>
      </c>
      <c r="I106" s="363">
        <f t="shared" si="33"/>
        <v>21770.09373238666</v>
      </c>
      <c r="J106" s="366">
        <f t="shared" si="34"/>
        <v>1.5707503922200323</v>
      </c>
      <c r="K106" s="374">
        <f t="shared" si="35"/>
        <v>6.8095853877526311</v>
      </c>
      <c r="L106" s="375">
        <f t="shared" si="36"/>
        <v>1.4234114978773387</v>
      </c>
      <c r="M106" s="363">
        <f t="shared" si="37"/>
        <v>1.0216625487407685</v>
      </c>
      <c r="N106" s="366">
        <f t="shared" si="38"/>
        <v>0.20629391056226767</v>
      </c>
      <c r="O106" s="367">
        <f t="shared" si="39"/>
        <v>1.003596809182653</v>
      </c>
      <c r="P106" s="368">
        <f t="shared" si="40"/>
        <v>0.1033932729313107</v>
      </c>
      <c r="Q106" s="369">
        <f t="shared" si="41"/>
        <v>2.315873532649674</v>
      </c>
      <c r="R106" s="370">
        <f t="shared" si="42"/>
        <v>-115.10495368972566</v>
      </c>
      <c r="S106" s="372">
        <f t="shared" si="43"/>
        <v>64.895046310274338</v>
      </c>
      <c r="U106" s="345">
        <f t="shared" si="50"/>
        <v>1000000000</v>
      </c>
      <c r="V106" s="345">
        <f t="shared" si="51"/>
        <v>27542553.610000003</v>
      </c>
      <c r="X106" s="371">
        <f t="shared" si="44"/>
        <v>17.815732280981859</v>
      </c>
      <c r="Y106" s="372">
        <f t="shared" si="45"/>
        <v>-20.261667241579847</v>
      </c>
      <c r="AA106" s="371">
        <f t="shared" si="46"/>
        <v>42.001366519501815</v>
      </c>
      <c r="AB106" s="372">
        <f t="shared" si="47"/>
        <v>-94.843286448145818</v>
      </c>
      <c r="AD106">
        <f t="shared" si="52"/>
        <v>0</v>
      </c>
      <c r="AE106">
        <f t="shared" si="53"/>
        <v>0</v>
      </c>
    </row>
    <row r="107" spans="1:31" x14ac:dyDescent="0.2">
      <c r="A107" s="373">
        <v>5370.3</v>
      </c>
      <c r="B107" s="390">
        <f t="shared" si="49"/>
        <v>5.3703000000000003</v>
      </c>
      <c r="C107" s="363">
        <f t="shared" si="27"/>
        <v>7.6444172853059884</v>
      </c>
      <c r="D107" s="364">
        <f t="shared" si="28"/>
        <v>1.4396059142117217</v>
      </c>
      <c r="E107" s="364">
        <f t="shared" si="29"/>
        <v>1.0008194291822474</v>
      </c>
      <c r="F107" s="365">
        <f t="shared" si="30"/>
        <v>4.0469000969805748E-2</v>
      </c>
      <c r="G107" s="364">
        <f t="shared" si="31"/>
        <v>1.0126848103509691</v>
      </c>
      <c r="H107" s="365">
        <f t="shared" si="32"/>
        <v>-0.15844342143405898</v>
      </c>
      <c r="I107" s="363">
        <f t="shared" si="33"/>
        <v>22277.002032256765</v>
      </c>
      <c r="J107" s="366">
        <f t="shared" si="34"/>
        <v>1.5707514374512188</v>
      </c>
      <c r="K107" s="374">
        <f t="shared" si="35"/>
        <v>6.9647626723341771</v>
      </c>
      <c r="L107" s="375">
        <f t="shared" si="36"/>
        <v>1.4267184618380966</v>
      </c>
      <c r="M107" s="363">
        <f t="shared" si="37"/>
        <v>1.0226717839197679</v>
      </c>
      <c r="N107" s="366">
        <f t="shared" si="38"/>
        <v>0.2109576689226495</v>
      </c>
      <c r="O107" s="367">
        <f t="shared" si="39"/>
        <v>1.0037660183797439</v>
      </c>
      <c r="P107" s="368">
        <f t="shared" si="40"/>
        <v>0.10579176297187763</v>
      </c>
      <c r="Q107" s="369">
        <f t="shared" si="41"/>
        <v>2.1103752053126272</v>
      </c>
      <c r="R107" s="370">
        <f t="shared" si="42"/>
        <v>-115.6436667857153</v>
      </c>
      <c r="S107" s="372">
        <f t="shared" si="43"/>
        <v>64.356333214284703</v>
      </c>
      <c r="U107" s="345">
        <f t="shared" si="50"/>
        <v>1000000000</v>
      </c>
      <c r="V107" s="345">
        <f t="shared" si="51"/>
        <v>28840122.090000004</v>
      </c>
      <c r="X107" s="371">
        <f t="shared" si="44"/>
        <v>17.802940413550694</v>
      </c>
      <c r="Y107" s="372">
        <f t="shared" si="45"/>
        <v>-20.339465721769788</v>
      </c>
      <c r="AA107" s="371">
        <f t="shared" si="46"/>
        <v>41.808660059595937</v>
      </c>
      <c r="AB107" s="372">
        <f t="shared" si="47"/>
        <v>-95.304201063945513</v>
      </c>
      <c r="AD107">
        <f t="shared" si="52"/>
        <v>0</v>
      </c>
      <c r="AE107">
        <f t="shared" si="53"/>
        <v>0</v>
      </c>
    </row>
    <row r="108" spans="1:31" x14ac:dyDescent="0.2">
      <c r="A108" s="373">
        <v>5432.85</v>
      </c>
      <c r="B108" s="390">
        <f t="shared" si="49"/>
        <v>5.4328500000000002</v>
      </c>
      <c r="C108" s="363">
        <f t="shared" si="27"/>
        <v>7.731939800958517</v>
      </c>
      <c r="D108" s="364">
        <f t="shared" si="28"/>
        <v>1.4410993700656389</v>
      </c>
      <c r="E108" s="364">
        <f t="shared" si="29"/>
        <v>1.0008386207326365</v>
      </c>
      <c r="F108" s="365">
        <f t="shared" si="30"/>
        <v>4.0939835884505393E-2</v>
      </c>
      <c r="G108" s="364">
        <f t="shared" si="31"/>
        <v>1.0129801166865773</v>
      </c>
      <c r="H108" s="365">
        <f t="shared" si="32"/>
        <v>-0.1602576151654396</v>
      </c>
      <c r="I108" s="363">
        <f t="shared" si="33"/>
        <v>22536.471051552897</v>
      </c>
      <c r="J108" s="366">
        <f t="shared" si="34"/>
        <v>1.5707519542754351</v>
      </c>
      <c r="K108" s="374">
        <f t="shared" si="35"/>
        <v>7.0442211063044819</v>
      </c>
      <c r="L108" s="375">
        <f t="shared" si="36"/>
        <v>1.4283547985086364</v>
      </c>
      <c r="M108" s="363">
        <f t="shared" si="37"/>
        <v>1.0231969709179078</v>
      </c>
      <c r="N108" s="366">
        <f t="shared" si="38"/>
        <v>0.21334130095736728</v>
      </c>
      <c r="O108" s="367">
        <f t="shared" si="39"/>
        <v>1.0038541291787191</v>
      </c>
      <c r="P108" s="368">
        <f t="shared" si="40"/>
        <v>0.1070192302085867</v>
      </c>
      <c r="Q108" s="369">
        <f t="shared" si="41"/>
        <v>2.006920639921387</v>
      </c>
      <c r="R108" s="370">
        <f t="shared" si="42"/>
        <v>-115.91937946833387</v>
      </c>
      <c r="S108" s="372">
        <f t="shared" si="43"/>
        <v>64.080620531666128</v>
      </c>
      <c r="U108" s="345">
        <f t="shared" si="50"/>
        <v>1000000000</v>
      </c>
      <c r="V108" s="345">
        <f t="shared" si="51"/>
        <v>29515859.122500002</v>
      </c>
      <c r="X108" s="371">
        <f t="shared" si="44"/>
        <v>17.796430770758704</v>
      </c>
      <c r="Y108" s="372">
        <f t="shared" si="45"/>
        <v>-20.382312204082176</v>
      </c>
      <c r="AA108" s="371">
        <f t="shared" si="46"/>
        <v>41.711715136996688</v>
      </c>
      <c r="AB108" s="372">
        <f t="shared" si="47"/>
        <v>-95.537067264251689</v>
      </c>
      <c r="AD108">
        <f t="shared" si="52"/>
        <v>0</v>
      </c>
      <c r="AE108">
        <f t="shared" si="53"/>
        <v>0</v>
      </c>
    </row>
    <row r="109" spans="1:31" x14ac:dyDescent="0.2">
      <c r="A109" s="373">
        <v>5495.4</v>
      </c>
      <c r="B109" s="390">
        <f t="shared" si="49"/>
        <v>5.4954000000000001</v>
      </c>
      <c r="C109" s="363">
        <f t="shared" si="27"/>
        <v>7.8194791759362881</v>
      </c>
      <c r="D109" s="364">
        <f t="shared" si="28"/>
        <v>1.4425593905222136</v>
      </c>
      <c r="E109" s="364">
        <f t="shared" si="29"/>
        <v>1.0008580341459148</v>
      </c>
      <c r="F109" s="365">
        <f t="shared" si="30"/>
        <v>4.1410652638221648E-2</v>
      </c>
      <c r="G109" s="364">
        <f t="shared" si="31"/>
        <v>1.0132787550928153</v>
      </c>
      <c r="H109" s="365">
        <f t="shared" si="32"/>
        <v>-0.16207074548558892</v>
      </c>
      <c r="I109" s="363">
        <f t="shared" si="33"/>
        <v>22795.940070854904</v>
      </c>
      <c r="J109" s="366">
        <f t="shared" si="34"/>
        <v>1.5707524593344098</v>
      </c>
      <c r="K109" s="374">
        <f t="shared" si="35"/>
        <v>7.1236979810678465</v>
      </c>
      <c r="L109" s="375">
        <f t="shared" si="36"/>
        <v>1.4299546271886594</v>
      </c>
      <c r="M109" s="363">
        <f t="shared" si="37"/>
        <v>1.0237279654319209</v>
      </c>
      <c r="N109" s="366">
        <f t="shared" si="38"/>
        <v>0.21572247379107412</v>
      </c>
      <c r="O109" s="367">
        <f t="shared" si="39"/>
        <v>1.0039432543244522</v>
      </c>
      <c r="P109" s="368">
        <f t="shared" si="40"/>
        <v>0.10824653403131225</v>
      </c>
      <c r="Q109" s="369">
        <f t="shared" si="41"/>
        <v>1.9046031125473049</v>
      </c>
      <c r="R109" s="370">
        <f t="shared" si="42"/>
        <v>-116.19505737027653</v>
      </c>
      <c r="S109" s="372">
        <f t="shared" si="43"/>
        <v>63.80494262972347</v>
      </c>
      <c r="U109" s="345">
        <f t="shared" si="50"/>
        <v>1000000000</v>
      </c>
      <c r="V109" s="345">
        <f t="shared" si="51"/>
        <v>30199421.159999996</v>
      </c>
      <c r="X109" s="371">
        <f t="shared" si="44"/>
        <v>17.789942830865556</v>
      </c>
      <c r="Y109" s="372">
        <f t="shared" si="45"/>
        <v>-20.427108864234324</v>
      </c>
      <c r="AA109" s="371">
        <f t="shared" si="46"/>
        <v>41.615885549515752</v>
      </c>
      <c r="AB109" s="372">
        <f t="shared" si="47"/>
        <v>-95.767948506042231</v>
      </c>
      <c r="AD109">
        <f t="shared" si="52"/>
        <v>0</v>
      </c>
      <c r="AE109">
        <f t="shared" si="53"/>
        <v>0</v>
      </c>
    </row>
    <row r="110" spans="1:31" x14ac:dyDescent="0.2">
      <c r="A110" s="373">
        <v>5559.4</v>
      </c>
      <c r="B110" s="390">
        <f t="shared" si="49"/>
        <v>5.5593999999999992</v>
      </c>
      <c r="C110" s="363">
        <f t="shared" si="27"/>
        <v>7.9090647071692226</v>
      </c>
      <c r="D110" s="364">
        <f t="shared" si="28"/>
        <v>1.4440198009866925</v>
      </c>
      <c r="E110" s="364">
        <f t="shared" si="29"/>
        <v>1.0008781272140483</v>
      </c>
      <c r="F110" s="365">
        <f t="shared" si="30"/>
        <v>4.1892364595285239E-2</v>
      </c>
      <c r="G110" s="364">
        <f t="shared" si="31"/>
        <v>1.0135877621288791</v>
      </c>
      <c r="H110" s="365">
        <f t="shared" si="32"/>
        <v>-0.16392479468229576</v>
      </c>
      <c r="I110" s="363">
        <f t="shared" si="33"/>
        <v>23061.423959515119</v>
      </c>
      <c r="J110" s="366">
        <f t="shared" si="34"/>
        <v>1.5707529643380913</v>
      </c>
      <c r="K110" s="374">
        <f t="shared" si="35"/>
        <v>7.205035695876699</v>
      </c>
      <c r="L110" s="375">
        <f t="shared" si="36"/>
        <v>1.431555006692403</v>
      </c>
      <c r="M110" s="363">
        <f t="shared" si="37"/>
        <v>1.0242772707662444</v>
      </c>
      <c r="N110" s="366">
        <f t="shared" si="38"/>
        <v>0.2181562761494667</v>
      </c>
      <c r="O110" s="367">
        <f t="shared" si="39"/>
        <v>1.0040354951975978</v>
      </c>
      <c r="P110" s="368">
        <f t="shared" si="40"/>
        <v>0.10950211749595114</v>
      </c>
      <c r="Q110" s="369">
        <f t="shared" si="41"/>
        <v>1.8010630023597241</v>
      </c>
      <c r="R110" s="370">
        <f t="shared" si="42"/>
        <v>-116.47708203852133</v>
      </c>
      <c r="S110" s="372">
        <f t="shared" si="43"/>
        <v>63.522917961478669</v>
      </c>
      <c r="U110" s="345">
        <f t="shared" si="50"/>
        <v>1000000000</v>
      </c>
      <c r="V110" s="345">
        <f t="shared" si="51"/>
        <v>30906928.359999996</v>
      </c>
      <c r="X110" s="371">
        <f t="shared" si="44"/>
        <v>17.783323957800956</v>
      </c>
      <c r="Y110" s="372">
        <f t="shared" si="45"/>
        <v>-20.47488941098964</v>
      </c>
      <c r="AA110" s="371">
        <f t="shared" si="46"/>
        <v>41.518964312392768</v>
      </c>
      <c r="AB110" s="372">
        <f t="shared" si="47"/>
        <v>-96.002192627531684</v>
      </c>
      <c r="AD110">
        <f t="shared" si="52"/>
        <v>0</v>
      </c>
      <c r="AE110">
        <f t="shared" si="53"/>
        <v>0</v>
      </c>
    </row>
    <row r="111" spans="1:31" x14ac:dyDescent="0.2">
      <c r="A111" s="373">
        <v>5623.4</v>
      </c>
      <c r="B111" s="390">
        <f t="shared" si="49"/>
        <v>5.6233999999999993</v>
      </c>
      <c r="C111" s="363">
        <f t="shared" si="27"/>
        <v>7.9986667289694884</v>
      </c>
      <c r="D111" s="364">
        <f t="shared" si="28"/>
        <v>1.4454474950540195</v>
      </c>
      <c r="E111" s="364">
        <f t="shared" si="29"/>
        <v>1.0008984525230016</v>
      </c>
      <c r="F111" s="365">
        <f t="shared" si="30"/>
        <v>4.2374057099808987E-2</v>
      </c>
      <c r="G111" s="364">
        <f t="shared" si="31"/>
        <v>1.013900251240526</v>
      </c>
      <c r="H111" s="365">
        <f t="shared" si="32"/>
        <v>-0.1657777073907227</v>
      </c>
      <c r="I111" s="363">
        <f t="shared" si="33"/>
        <v>23326.907848181083</v>
      </c>
      <c r="J111" s="366">
        <f t="shared" si="34"/>
        <v>1.570753457846864</v>
      </c>
      <c r="K111" s="374">
        <f t="shared" si="35"/>
        <v>7.2863914523060096</v>
      </c>
      <c r="L111" s="375">
        <f t="shared" si="36"/>
        <v>1.4331196522511112</v>
      </c>
      <c r="M111" s="363">
        <f t="shared" si="37"/>
        <v>1.0248326367733975</v>
      </c>
      <c r="N111" s="366">
        <f t="shared" si="38"/>
        <v>0.22058745509705099</v>
      </c>
      <c r="O111" s="367">
        <f t="shared" si="39"/>
        <v>1.0041287975547282</v>
      </c>
      <c r="P111" s="368">
        <f t="shared" si="40"/>
        <v>0.11075752601380323</v>
      </c>
      <c r="Q111" s="369">
        <f t="shared" si="41"/>
        <v>1.6986581923296225</v>
      </c>
      <c r="R111" s="370">
        <f t="shared" si="42"/>
        <v>-116.75905460540125</v>
      </c>
      <c r="S111" s="372">
        <f t="shared" si="43"/>
        <v>63.240945394598754</v>
      </c>
      <c r="U111" s="345">
        <f t="shared" si="50"/>
        <v>1000000000</v>
      </c>
      <c r="V111" s="345">
        <f t="shared" si="51"/>
        <v>31622627.559999995</v>
      </c>
      <c r="X111" s="371">
        <f t="shared" si="44"/>
        <v>17.776721897932831</v>
      </c>
      <c r="Y111" s="372">
        <f t="shared" si="45"/>
        <v>-20.524566393006012</v>
      </c>
      <c r="AA111" s="371">
        <f t="shared" si="46"/>
        <v>41.423161562230788</v>
      </c>
      <c r="AB111" s="372">
        <f t="shared" si="47"/>
        <v>-96.234488212395235</v>
      </c>
      <c r="AD111">
        <f t="shared" si="52"/>
        <v>0</v>
      </c>
      <c r="AE111">
        <f t="shared" si="53"/>
        <v>0</v>
      </c>
    </row>
    <row r="112" spans="1:31" x14ac:dyDescent="0.2">
      <c r="A112" s="373">
        <v>5688.9</v>
      </c>
      <c r="B112" s="390">
        <f t="shared" si="49"/>
        <v>5.6888999999999994</v>
      </c>
      <c r="C112" s="363">
        <f t="shared" si="27"/>
        <v>8.0903853012480145</v>
      </c>
      <c r="D112" s="364">
        <f t="shared" si="28"/>
        <v>1.4468759034836836</v>
      </c>
      <c r="E112" s="364">
        <f t="shared" si="29"/>
        <v>1.000919494660941</v>
      </c>
      <c r="F112" s="365">
        <f t="shared" si="30"/>
        <v>4.2867018898630489E-2</v>
      </c>
      <c r="G112" s="364">
        <f t="shared" si="31"/>
        <v>1.0142236664055664</v>
      </c>
      <c r="H112" s="365">
        <f t="shared" si="32"/>
        <v>-0.16767285881146426</v>
      </c>
      <c r="I112" s="363">
        <f t="shared" si="33"/>
        <v>23598.614015493404</v>
      </c>
      <c r="J112" s="366">
        <f t="shared" si="34"/>
        <v>1.5707539514249007</v>
      </c>
      <c r="K112" s="374">
        <f t="shared" si="35"/>
        <v>7.369672041625396</v>
      </c>
      <c r="L112" s="375">
        <f t="shared" si="36"/>
        <v>1.4346851962327267</v>
      </c>
      <c r="M112" s="363">
        <f t="shared" si="37"/>
        <v>1.0254072843026163</v>
      </c>
      <c r="N112" s="366">
        <f t="shared" si="38"/>
        <v>0.22307287292399833</v>
      </c>
      <c r="O112" s="367">
        <f t="shared" si="39"/>
        <v>1.0042253855452856</v>
      </c>
      <c r="P112" s="368">
        <f t="shared" si="40"/>
        <v>0.11204217498499386</v>
      </c>
      <c r="Q112" s="369">
        <f t="shared" si="41"/>
        <v>1.5950012272753855</v>
      </c>
      <c r="R112" s="370">
        <f t="shared" si="42"/>
        <v>-117.04757406075004</v>
      </c>
      <c r="S112" s="372">
        <f t="shared" si="43"/>
        <v>62.952425939249963</v>
      </c>
      <c r="U112" s="345">
        <f t="shared" si="50"/>
        <v>1000000000</v>
      </c>
      <c r="V112" s="345">
        <f t="shared" si="51"/>
        <v>32363583.209999997</v>
      </c>
      <c r="X112" s="371">
        <f t="shared" si="44"/>
        <v>17.769979663316192</v>
      </c>
      <c r="Y112" s="372">
        <f t="shared" si="45"/>
        <v>-20.57729956202661</v>
      </c>
      <c r="AA112" s="371">
        <f t="shared" si="46"/>
        <v>41.326246831793192</v>
      </c>
      <c r="AB112" s="372">
        <f t="shared" si="47"/>
        <v>-96.470274498723427</v>
      </c>
      <c r="AD112">
        <f t="shared" si="52"/>
        <v>0</v>
      </c>
      <c r="AE112">
        <f t="shared" si="53"/>
        <v>0</v>
      </c>
    </row>
    <row r="113" spans="1:31" x14ac:dyDescent="0.2">
      <c r="A113" s="373">
        <v>5754.4</v>
      </c>
      <c r="B113" s="390">
        <f t="shared" si="49"/>
        <v>5.7543999999999995</v>
      </c>
      <c r="C113" s="363">
        <f t="shared" si="27"/>
        <v>8.1821200106501362</v>
      </c>
      <c r="D113" s="364">
        <f t="shared" si="28"/>
        <v>1.4482722852031635</v>
      </c>
      <c r="E113" s="364">
        <f t="shared" si="29"/>
        <v>1.0009407800234023</v>
      </c>
      <c r="F113" s="365">
        <f t="shared" si="30"/>
        <v>4.3359959851221284E-2</v>
      </c>
      <c r="G113" s="364">
        <f t="shared" si="31"/>
        <v>1.0145507219251839</v>
      </c>
      <c r="H113" s="365">
        <f t="shared" si="32"/>
        <v>-0.16956679517031689</v>
      </c>
      <c r="I113" s="363">
        <f t="shared" si="33"/>
        <v>23870.320182811345</v>
      </c>
      <c r="J113" s="366">
        <f t="shared" si="34"/>
        <v>1.5707544337665402</v>
      </c>
      <c r="K113" s="374">
        <f t="shared" si="35"/>
        <v>7.4529702897876833</v>
      </c>
      <c r="L113" s="375">
        <f t="shared" si="36"/>
        <v>1.4362157492386223</v>
      </c>
      <c r="M113" s="363">
        <f t="shared" si="37"/>
        <v>1.0259882589637399</v>
      </c>
      <c r="N113" s="366">
        <f t="shared" si="38"/>
        <v>0.22555549129405891</v>
      </c>
      <c r="O113" s="367">
        <f t="shared" si="39"/>
        <v>1.0043230848822913</v>
      </c>
      <c r="P113" s="368">
        <f t="shared" si="40"/>
        <v>0.11332663657468196</v>
      </c>
      <c r="Q113" s="369">
        <f t="shared" si="41"/>
        <v>1.492478383434811</v>
      </c>
      <c r="R113" s="370">
        <f t="shared" si="42"/>
        <v>-117.33602315545431</v>
      </c>
      <c r="S113" s="372">
        <f t="shared" si="43"/>
        <v>62.663976844545687</v>
      </c>
      <c r="U113" s="345">
        <f t="shared" si="50"/>
        <v>1000000000</v>
      </c>
      <c r="V113" s="345">
        <f t="shared" si="51"/>
        <v>33113119.359999996</v>
      </c>
      <c r="X113" s="371">
        <f t="shared" si="44"/>
        <v>17.763249425608986</v>
      </c>
      <c r="Y113" s="372">
        <f t="shared" si="45"/>
        <v>-20.631876525416441</v>
      </c>
      <c r="AA113" s="371">
        <f t="shared" si="46"/>
        <v>41.230454225659827</v>
      </c>
      <c r="AB113" s="372">
        <f t="shared" si="47"/>
        <v>-96.704146630037911</v>
      </c>
      <c r="AD113">
        <f t="shared" si="52"/>
        <v>0</v>
      </c>
      <c r="AE113">
        <f t="shared" si="53"/>
        <v>0</v>
      </c>
    </row>
    <row r="114" spans="1:31" x14ac:dyDescent="0.2">
      <c r="A114" s="373">
        <v>5821.4</v>
      </c>
      <c r="B114" s="390">
        <f t="shared" si="49"/>
        <v>5.8213999999999997</v>
      </c>
      <c r="C114" s="363">
        <f t="shared" si="27"/>
        <v>8.275971651181111</v>
      </c>
      <c r="D114" s="364">
        <f t="shared" si="28"/>
        <v>1.4496686145580027</v>
      </c>
      <c r="E114" s="364">
        <f t="shared" si="29"/>
        <v>1.0009628044640762</v>
      </c>
      <c r="F114" s="365">
        <f t="shared" si="30"/>
        <v>4.3864167711778874E-2</v>
      </c>
      <c r="G114" s="364">
        <f t="shared" si="31"/>
        <v>1.0148890299561282</v>
      </c>
      <c r="H114" s="365">
        <f t="shared" si="32"/>
        <v>-0.17150283406543071</v>
      </c>
      <c r="I114" s="363">
        <f t="shared" si="33"/>
        <v>24148.248628775771</v>
      </c>
      <c r="J114" s="366">
        <f t="shared" si="34"/>
        <v>1.5707549159242509</v>
      </c>
      <c r="K114" s="374">
        <f t="shared" si="35"/>
        <v>7.5381937912084105</v>
      </c>
      <c r="L114" s="375">
        <f t="shared" si="36"/>
        <v>1.437746352875743</v>
      </c>
      <c r="M114" s="363">
        <f t="shared" si="37"/>
        <v>1.0265890733238967</v>
      </c>
      <c r="N114" s="366">
        <f t="shared" si="38"/>
        <v>0.22809204024419638</v>
      </c>
      <c r="O114" s="367">
        <f t="shared" si="39"/>
        <v>1.0044241711665094</v>
      </c>
      <c r="P114" s="368">
        <f t="shared" si="40"/>
        <v>0.11464031726945709</v>
      </c>
      <c r="Q114" s="369">
        <f t="shared" si="41"/>
        <v>1.388753543980163</v>
      </c>
      <c r="R114" s="370">
        <f t="shared" si="42"/>
        <v>-117.63099721578696</v>
      </c>
      <c r="S114" s="372">
        <f t="shared" si="43"/>
        <v>62.369002784213038</v>
      </c>
      <c r="U114" s="345">
        <f t="shared" si="50"/>
        <v>1000000000</v>
      </c>
      <c r="V114" s="345">
        <f t="shared" si="51"/>
        <v>33888697.959999993</v>
      </c>
      <c r="X114" s="371">
        <f t="shared" si="44"/>
        <v>17.756374770937413</v>
      </c>
      <c r="Y114" s="372">
        <f t="shared" si="45"/>
        <v>-20.689540571941034</v>
      </c>
      <c r="AA114" s="371">
        <f t="shared" si="46"/>
        <v>41.133604040876754</v>
      </c>
      <c r="AB114" s="372">
        <f t="shared" si="47"/>
        <v>-96.941456643845939</v>
      </c>
      <c r="AD114">
        <f t="shared" si="52"/>
        <v>0</v>
      </c>
      <c r="AE114">
        <f t="shared" si="53"/>
        <v>0</v>
      </c>
    </row>
    <row r="115" spans="1:31" x14ac:dyDescent="0.2">
      <c r="A115" s="373">
        <v>5888.4</v>
      </c>
      <c r="B115" s="390">
        <f t="shared" si="49"/>
        <v>5.8883999999999999</v>
      </c>
      <c r="C115" s="363">
        <f t="shared" si="27"/>
        <v>8.3698390657836654</v>
      </c>
      <c r="D115" s="364">
        <f t="shared" si="28"/>
        <v>1.4510336269675876</v>
      </c>
      <c r="E115" s="364">
        <f t="shared" si="29"/>
        <v>1.0009850833638505</v>
      </c>
      <c r="F115" s="365">
        <f t="shared" si="30"/>
        <v>4.4368353256225297E-2</v>
      </c>
      <c r="G115" s="364">
        <f t="shared" si="31"/>
        <v>1.0152311394978482</v>
      </c>
      <c r="H115" s="365">
        <f t="shared" si="32"/>
        <v>-0.17343757540723026</v>
      </c>
      <c r="I115" s="363">
        <f t="shared" si="33"/>
        <v>24426.177074745676</v>
      </c>
      <c r="J115" s="366">
        <f t="shared" si="34"/>
        <v>1.5707553871096884</v>
      </c>
      <c r="K115" s="374">
        <f t="shared" si="35"/>
        <v>7.623434557840544</v>
      </c>
      <c r="L115" s="375">
        <f t="shared" si="36"/>
        <v>1.4392427313321174</v>
      </c>
      <c r="M115" s="363">
        <f t="shared" si="37"/>
        <v>1.0271964850892923</v>
      </c>
      <c r="N115" s="366">
        <f t="shared" si="38"/>
        <v>0.23062560560617318</v>
      </c>
      <c r="O115" s="367">
        <f t="shared" si="39"/>
        <v>1.0045264197585773</v>
      </c>
      <c r="P115" s="368">
        <f t="shared" si="40"/>
        <v>0.11595379748172094</v>
      </c>
      <c r="Q115" s="369">
        <f t="shared" si="41"/>
        <v>1.28616045586991</v>
      </c>
      <c r="R115" s="370">
        <f t="shared" si="42"/>
        <v>-117.92588177755329</v>
      </c>
      <c r="S115" s="372">
        <f t="shared" si="43"/>
        <v>62.074118222446714</v>
      </c>
      <c r="U115" s="345">
        <f t="shared" si="50"/>
        <v>1000000000</v>
      </c>
      <c r="V115" s="345">
        <f t="shared" si="51"/>
        <v>34673254.559999995</v>
      </c>
      <c r="X115" s="371">
        <f t="shared" si="44"/>
        <v>17.749507347177833</v>
      </c>
      <c r="Y115" s="372">
        <f t="shared" si="45"/>
        <v>-20.748994001203155</v>
      </c>
      <c r="AA115" s="371">
        <f t="shared" si="46"/>
        <v>41.037878376526081</v>
      </c>
      <c r="AB115" s="372">
        <f t="shared" si="47"/>
        <v>-97.176887776350128</v>
      </c>
      <c r="AD115">
        <f t="shared" si="52"/>
        <v>0</v>
      </c>
      <c r="AE115">
        <f t="shared" si="53"/>
        <v>0</v>
      </c>
    </row>
    <row r="116" spans="1:31" x14ac:dyDescent="0.2">
      <c r="A116" s="373">
        <v>5957</v>
      </c>
      <c r="B116" s="390">
        <f t="shared" si="49"/>
        <v>5.9569999999999999</v>
      </c>
      <c r="C116" s="363">
        <f t="shared" si="27"/>
        <v>8.4659638859346096</v>
      </c>
      <c r="D116" s="364">
        <f t="shared" si="28"/>
        <v>1.4523998716848543</v>
      </c>
      <c r="E116" s="364">
        <f t="shared" si="29"/>
        <v>1.0010081579259174</v>
      </c>
      <c r="F116" s="365">
        <f t="shared" si="30"/>
        <v>4.4884555664487236E-2</v>
      </c>
      <c r="G116" s="364">
        <f t="shared" si="31"/>
        <v>1.0155853535755484</v>
      </c>
      <c r="H116" s="365">
        <f t="shared" si="32"/>
        <v>-0.17541716137525984</v>
      </c>
      <c r="I116" s="363">
        <f t="shared" si="33"/>
        <v>24710.742617938275</v>
      </c>
      <c r="J116" s="366">
        <f t="shared" si="34"/>
        <v>1.5707558585655224</v>
      </c>
      <c r="K116" s="374">
        <f t="shared" si="35"/>
        <v>7.7107282154706214</v>
      </c>
      <c r="L116" s="375">
        <f t="shared" si="36"/>
        <v>1.4407405618079347</v>
      </c>
      <c r="M116" s="363">
        <f t="shared" si="37"/>
        <v>1.0278252256055331</v>
      </c>
      <c r="N116" s="366">
        <f t="shared" si="38"/>
        <v>0.23321655429557603</v>
      </c>
      <c r="O116" s="367">
        <f t="shared" si="39"/>
        <v>1.0046323141015752</v>
      </c>
      <c r="P116" s="368">
        <f t="shared" si="40"/>
        <v>0.11729843433407153</v>
      </c>
      <c r="Q116" s="369">
        <f t="shared" si="41"/>
        <v>1.1822624907607602</v>
      </c>
      <c r="R116" s="370">
        <f t="shared" si="42"/>
        <v>-118.2277076249574</v>
      </c>
      <c r="S116" s="372">
        <f t="shared" si="43"/>
        <v>61.772292375042596</v>
      </c>
      <c r="U116" s="345">
        <f t="shared" si="50"/>
        <v>1000000000</v>
      </c>
      <c r="V116" s="345">
        <f t="shared" si="51"/>
        <v>35485849</v>
      </c>
      <c r="X116" s="371">
        <f t="shared" si="44"/>
        <v>17.742480854821594</v>
      </c>
      <c r="Y116" s="372">
        <f t="shared" si="45"/>
        <v>-20.811652073851597</v>
      </c>
      <c r="AA116" s="371">
        <f t="shared" si="46"/>
        <v>40.941006903773172</v>
      </c>
      <c r="AB116" s="372">
        <f t="shared" si="47"/>
        <v>-97.416055551105799</v>
      </c>
      <c r="AD116">
        <f t="shared" si="52"/>
        <v>0</v>
      </c>
      <c r="AE116">
        <f t="shared" si="53"/>
        <v>0</v>
      </c>
    </row>
    <row r="117" spans="1:31" x14ac:dyDescent="0.2">
      <c r="A117" s="373">
        <v>6025.6</v>
      </c>
      <c r="B117" s="390">
        <f t="shared" si="49"/>
        <v>6.0256000000000007</v>
      </c>
      <c r="C117" s="363">
        <f t="shared" si="27"/>
        <v>8.5621041540168115</v>
      </c>
      <c r="D117" s="364">
        <f t="shared" si="28"/>
        <v>1.4537354368735418</v>
      </c>
      <c r="E117" s="364">
        <f t="shared" si="29"/>
        <v>1.0010314992092111</v>
      </c>
      <c r="F117" s="365">
        <f t="shared" si="30"/>
        <v>4.5400734137465114E-2</v>
      </c>
      <c r="G117" s="364">
        <f t="shared" si="31"/>
        <v>1.0159435447048473</v>
      </c>
      <c r="H117" s="365">
        <f t="shared" si="32"/>
        <v>-0.17739535920592794</v>
      </c>
      <c r="I117" s="363">
        <f t="shared" si="33"/>
        <v>24995.308161136236</v>
      </c>
      <c r="J117" s="366">
        <f t="shared" si="34"/>
        <v>1.5707563192865346</v>
      </c>
      <c r="K117" s="374">
        <f t="shared" si="35"/>
        <v>7.7980387847668391</v>
      </c>
      <c r="L117" s="375">
        <f t="shared" si="36"/>
        <v>1.4422048546560775</v>
      </c>
      <c r="M117" s="363">
        <f t="shared" si="37"/>
        <v>1.0284608574647729</v>
      </c>
      <c r="N117" s="366">
        <f t="shared" si="38"/>
        <v>0.23580431770938734</v>
      </c>
      <c r="O117" s="367">
        <f t="shared" si="39"/>
        <v>1.0047394263551019</v>
      </c>
      <c r="P117" s="368">
        <f t="shared" si="40"/>
        <v>0.11864285628262307</v>
      </c>
      <c r="Q117" s="369">
        <f t="shared" si="41"/>
        <v>1.0794960605448709</v>
      </c>
      <c r="R117" s="370">
        <f t="shared" si="42"/>
        <v>-118.52942363536687</v>
      </c>
      <c r="S117" s="372">
        <f t="shared" si="43"/>
        <v>61.470576364633132</v>
      </c>
      <c r="U117" s="345">
        <f t="shared" si="50"/>
        <v>1000000000</v>
      </c>
      <c r="V117" s="345">
        <f t="shared" si="51"/>
        <v>36307855.360000007</v>
      </c>
      <c r="X117" s="371">
        <f t="shared" si="44"/>
        <v>17.735456893772103</v>
      </c>
      <c r="Y117" s="372">
        <f t="shared" si="45"/>
        <v>-20.876048593114703</v>
      </c>
      <c r="AA117" s="371">
        <f t="shared" si="46"/>
        <v>40.845264434606761</v>
      </c>
      <c r="AB117" s="372">
        <f t="shared" si="47"/>
        <v>-97.653375042252193</v>
      </c>
      <c r="AD117">
        <f t="shared" si="52"/>
        <v>0</v>
      </c>
      <c r="AE117">
        <f t="shared" si="53"/>
        <v>0</v>
      </c>
    </row>
    <row r="118" spans="1:31" x14ac:dyDescent="0.2">
      <c r="A118" s="373">
        <v>6095.8</v>
      </c>
      <c r="B118" s="390">
        <f t="shared" si="49"/>
        <v>6.0958000000000006</v>
      </c>
      <c r="C118" s="363">
        <f t="shared" si="27"/>
        <v>8.6605022165561323</v>
      </c>
      <c r="D118" s="364">
        <f t="shared" si="28"/>
        <v>1.4550714521423782</v>
      </c>
      <c r="E118" s="364">
        <f t="shared" si="29"/>
        <v>1.0010556610012757</v>
      </c>
      <c r="F118" s="365">
        <f t="shared" si="30"/>
        <v>4.5928926694104553E-2</v>
      </c>
      <c r="G118" s="364">
        <f t="shared" si="31"/>
        <v>1.0163142030309507</v>
      </c>
      <c r="H118" s="365">
        <f t="shared" si="32"/>
        <v>-0.17941824406937792</v>
      </c>
      <c r="I118" s="363">
        <f t="shared" si="33"/>
        <v>25286.510801557004</v>
      </c>
      <c r="J118" s="366">
        <f t="shared" si="34"/>
        <v>1.5707567800180358</v>
      </c>
      <c r="K118" s="374">
        <f t="shared" si="35"/>
        <v>7.8874026741692287</v>
      </c>
      <c r="L118" s="375">
        <f t="shared" si="36"/>
        <v>1.44366973556797</v>
      </c>
      <c r="M118" s="363">
        <f t="shared" si="37"/>
        <v>1.0291184355477638</v>
      </c>
      <c r="N118" s="366">
        <f t="shared" si="38"/>
        <v>0.23844910957513854</v>
      </c>
      <c r="O118" s="367">
        <f t="shared" si="39"/>
        <v>1.0048502973968676</v>
      </c>
      <c r="P118" s="368">
        <f t="shared" si="40"/>
        <v>0.12001841003756507</v>
      </c>
      <c r="Q118" s="369">
        <f t="shared" si="41"/>
        <v>0.9754766799711192</v>
      </c>
      <c r="R118" s="370">
        <f t="shared" si="42"/>
        <v>-118.83805497331926</v>
      </c>
      <c r="S118" s="372">
        <f t="shared" si="43"/>
        <v>61.161945026680741</v>
      </c>
      <c r="U118" s="345">
        <f t="shared" si="50"/>
        <v>1000000000</v>
      </c>
      <c r="V118" s="345">
        <f t="shared" si="51"/>
        <v>37158777.640000001</v>
      </c>
      <c r="X118" s="371">
        <f t="shared" si="44"/>
        <v>17.728269302052354</v>
      </c>
      <c r="Y118" s="372">
        <f t="shared" si="45"/>
        <v>-20.943678909019841</v>
      </c>
      <c r="AA118" s="371">
        <f t="shared" si="46"/>
        <v>40.748432645752771</v>
      </c>
      <c r="AB118" s="372">
        <f t="shared" si="47"/>
        <v>-97.894376064299408</v>
      </c>
      <c r="AD118">
        <f t="shared" si="52"/>
        <v>0</v>
      </c>
      <c r="AE118">
        <f t="shared" si="53"/>
        <v>0</v>
      </c>
    </row>
    <row r="119" spans="1:31" x14ac:dyDescent="0.2">
      <c r="A119" s="373">
        <v>6166</v>
      </c>
      <c r="B119" s="390">
        <f t="shared" si="49"/>
        <v>6.1660000000000004</v>
      </c>
      <c r="C119" s="363">
        <f t="shared" si="27"/>
        <v>8.758915390206802</v>
      </c>
      <c r="D119" s="364">
        <f t="shared" si="28"/>
        <v>1.4563774473737869</v>
      </c>
      <c r="E119" s="364">
        <f t="shared" si="29"/>
        <v>1.0010801020617066</v>
      </c>
      <c r="F119" s="365">
        <f t="shared" si="30"/>
        <v>4.6457093606774788E-2</v>
      </c>
      <c r="G119" s="364">
        <f t="shared" si="31"/>
        <v>1.0166890171366552</v>
      </c>
      <c r="H119" s="365">
        <f t="shared" si="32"/>
        <v>-0.18143964567990814</v>
      </c>
      <c r="I119" s="363">
        <f t="shared" si="33"/>
        <v>25577.713441983025</v>
      </c>
      <c r="J119" s="366">
        <f t="shared" si="34"/>
        <v>1.570757230258667</v>
      </c>
      <c r="K119" s="374">
        <f t="shared" si="35"/>
        <v>7.9767831097092818</v>
      </c>
      <c r="L119" s="375">
        <f t="shared" si="36"/>
        <v>1.4451017913011959</v>
      </c>
      <c r="M119" s="363">
        <f t="shared" si="37"/>
        <v>1.0297832030131817</v>
      </c>
      <c r="N119" s="366">
        <f t="shared" si="38"/>
        <v>0.24109050525334394</v>
      </c>
      <c r="O119" s="367">
        <f t="shared" si="39"/>
        <v>1.0049624431955917</v>
      </c>
      <c r="P119" s="368">
        <f t="shared" si="40"/>
        <v>0.12139373368730394</v>
      </c>
      <c r="Q119" s="369">
        <f t="shared" si="41"/>
        <v>0.87258736042007168</v>
      </c>
      <c r="R119" s="370">
        <f t="shared" si="42"/>
        <v>-119.14655514683199</v>
      </c>
      <c r="S119" s="372">
        <f t="shared" si="43"/>
        <v>60.853444853168014</v>
      </c>
      <c r="U119" s="345">
        <f t="shared" si="50"/>
        <v>1000000000</v>
      </c>
      <c r="V119" s="345">
        <f t="shared" si="51"/>
        <v>38019556</v>
      </c>
      <c r="X119" s="371">
        <f t="shared" si="44"/>
        <v>17.721079582352523</v>
      </c>
      <c r="Y119" s="372">
        <f t="shared" si="45"/>
        <v>-21.012994780830891</v>
      </c>
      <c r="AA119" s="371">
        <f t="shared" si="46"/>
        <v>40.652733045901556</v>
      </c>
      <c r="AB119" s="372">
        <f t="shared" si="47"/>
        <v>-98.133560366001078</v>
      </c>
      <c r="AD119">
        <f t="shared" si="52"/>
        <v>0</v>
      </c>
      <c r="AE119">
        <f t="shared" si="53"/>
        <v>0</v>
      </c>
    </row>
    <row r="120" spans="1:31" x14ac:dyDescent="0.2">
      <c r="A120" s="373">
        <v>6237.8</v>
      </c>
      <c r="B120" s="390">
        <f t="shared" si="49"/>
        <v>6.2378</v>
      </c>
      <c r="C120" s="363">
        <f t="shared" si="27"/>
        <v>8.8595867059378506</v>
      </c>
      <c r="D120" s="364">
        <f t="shared" si="28"/>
        <v>1.457683192873338</v>
      </c>
      <c r="E120" s="364">
        <f t="shared" si="29"/>
        <v>1.0011053890505621</v>
      </c>
      <c r="F120" s="365">
        <f t="shared" si="30"/>
        <v>4.6997271679237375E-2</v>
      </c>
      <c r="G120" s="364">
        <f t="shared" si="31"/>
        <v>1.0170766681617935</v>
      </c>
      <c r="H120" s="365">
        <f t="shared" si="32"/>
        <v>-0.18350556927555076</v>
      </c>
      <c r="I120" s="363">
        <f t="shared" si="33"/>
        <v>25875.553179631974</v>
      </c>
      <c r="J120" s="366">
        <f t="shared" si="34"/>
        <v>1.5707576802781127</v>
      </c>
      <c r="K120" s="374">
        <f t="shared" si="35"/>
        <v>8.0682172491247144</v>
      </c>
      <c r="L120" s="375">
        <f t="shared" si="36"/>
        <v>1.4465336616045006</v>
      </c>
      <c r="M120" s="363">
        <f t="shared" si="37"/>
        <v>1.0304705444110747</v>
      </c>
      <c r="N120" s="366">
        <f t="shared" si="38"/>
        <v>0.24378855897616941</v>
      </c>
      <c r="O120" s="367">
        <f t="shared" si="39"/>
        <v>1.0050784633567407</v>
      </c>
      <c r="P120" s="368">
        <f t="shared" si="40"/>
        <v>0.12280016305079608</v>
      </c>
      <c r="Q120" s="369">
        <f t="shared" si="41"/>
        <v>0.7684945344696209</v>
      </c>
      <c r="R120" s="370">
        <f t="shared" si="42"/>
        <v>-119.46194284947832</v>
      </c>
      <c r="S120" s="372">
        <f t="shared" si="43"/>
        <v>60.538057150521681</v>
      </c>
      <c r="U120" s="345">
        <f t="shared" si="50"/>
        <v>1000000000</v>
      </c>
      <c r="V120" s="345">
        <f t="shared" si="51"/>
        <v>38910148.840000004</v>
      </c>
      <c r="X120" s="371">
        <f t="shared" si="44"/>
        <v>17.713721501816217</v>
      </c>
      <c r="Y120" s="372">
        <f t="shared" si="45"/>
        <v>-21.085567531156745</v>
      </c>
      <c r="AA120" s="371">
        <f t="shared" si="46"/>
        <v>40.55599830048741</v>
      </c>
      <c r="AB120" s="372">
        <f t="shared" si="47"/>
        <v>-98.376375318321593</v>
      </c>
      <c r="AD120">
        <f t="shared" si="52"/>
        <v>0</v>
      </c>
      <c r="AE120">
        <f t="shared" si="53"/>
        <v>0</v>
      </c>
    </row>
    <row r="121" spans="1:31" x14ac:dyDescent="0.2">
      <c r="A121" s="373">
        <v>6309.6</v>
      </c>
      <c r="B121" s="390">
        <f t="shared" si="49"/>
        <v>6.3096000000000005</v>
      </c>
      <c r="C121" s="363">
        <f t="shared" si="27"/>
        <v>8.96027278756927</v>
      </c>
      <c r="D121" s="364">
        <f t="shared" si="28"/>
        <v>1.45895959533099</v>
      </c>
      <c r="E121" s="364">
        <f t="shared" si="29"/>
        <v>1.0011309681395053</v>
      </c>
      <c r="F121" s="365">
        <f t="shared" si="30"/>
        <v>4.753742230599764E-2</v>
      </c>
      <c r="G121" s="364">
        <f t="shared" si="31"/>
        <v>1.0174686567925946</v>
      </c>
      <c r="H121" s="365">
        <f t="shared" si="32"/>
        <v>-0.1855699098462624</v>
      </c>
      <c r="I121" s="363">
        <f t="shared" si="33"/>
        <v>26173.392917286041</v>
      </c>
      <c r="J121" s="366">
        <f t="shared" si="34"/>
        <v>1.5707581200555791</v>
      </c>
      <c r="K121" s="374">
        <f t="shared" si="35"/>
        <v>8.1596675596796064</v>
      </c>
      <c r="L121" s="375">
        <f t="shared" si="36"/>
        <v>1.4479334390579526</v>
      </c>
      <c r="M121" s="363">
        <f t="shared" si="37"/>
        <v>1.0311653770809202</v>
      </c>
      <c r="N121" s="366">
        <f t="shared" si="38"/>
        <v>0.24648299621903677</v>
      </c>
      <c r="O121" s="367">
        <f t="shared" si="39"/>
        <v>1.005195816358361</v>
      </c>
      <c r="P121" s="368">
        <f t="shared" si="40"/>
        <v>0.12420634629878012</v>
      </c>
      <c r="Q121" s="369">
        <f t="shared" si="41"/>
        <v>0.66552912697164657</v>
      </c>
      <c r="R121" s="370">
        <f t="shared" si="42"/>
        <v>-119.77717707914984</v>
      </c>
      <c r="S121" s="372">
        <f t="shared" si="43"/>
        <v>60.222822920850163</v>
      </c>
      <c r="U121" s="345">
        <f t="shared" si="50"/>
        <v>1000000000</v>
      </c>
      <c r="V121" s="345">
        <f t="shared" si="51"/>
        <v>39811052.160000004</v>
      </c>
      <c r="X121" s="371">
        <f t="shared" si="44"/>
        <v>17.706356687315484</v>
      </c>
      <c r="Y121" s="372">
        <f t="shared" si="45"/>
        <v>-21.159771270473076</v>
      </c>
      <c r="AA121" s="371">
        <f t="shared" si="46"/>
        <v>40.460397707490159</v>
      </c>
      <c r="AB121" s="372">
        <f t="shared" si="47"/>
        <v>-98.617405808676764</v>
      </c>
      <c r="AD121">
        <f t="shared" si="52"/>
        <v>0</v>
      </c>
      <c r="AE121">
        <f t="shared" si="53"/>
        <v>0</v>
      </c>
    </row>
    <row r="122" spans="1:31" x14ac:dyDescent="0.2">
      <c r="A122" s="373">
        <v>6383.05</v>
      </c>
      <c r="B122" s="390">
        <f t="shared" si="49"/>
        <v>6.3830499999999999</v>
      </c>
      <c r="C122" s="363">
        <f t="shared" si="27"/>
        <v>9.0632874515233599</v>
      </c>
      <c r="D122" s="364">
        <f t="shared" si="28"/>
        <v>1.4602359832827867</v>
      </c>
      <c r="E122" s="364">
        <f t="shared" si="29"/>
        <v>1.0011574372715186</v>
      </c>
      <c r="F122" s="365">
        <f t="shared" si="30"/>
        <v>4.8089957139533762E-2</v>
      </c>
      <c r="G122" s="364">
        <f t="shared" si="31"/>
        <v>1.0178741365647928</v>
      </c>
      <c r="H122" s="365">
        <f t="shared" si="32"/>
        <v>-0.18768003556045665</v>
      </c>
      <c r="I122" s="363">
        <f t="shared" si="33"/>
        <v>26478.077161451205</v>
      </c>
      <c r="J122" s="366">
        <f t="shared" si="34"/>
        <v>1.5707585597019864</v>
      </c>
      <c r="K122" s="374">
        <f t="shared" si="35"/>
        <v>8.253235616576287</v>
      </c>
      <c r="L122" s="375">
        <f t="shared" si="36"/>
        <v>1.4493332832182388</v>
      </c>
      <c r="M122" s="363">
        <f t="shared" si="37"/>
        <v>1.0318839130541071</v>
      </c>
      <c r="N122" s="366">
        <f t="shared" si="38"/>
        <v>0.24923557775150942</v>
      </c>
      <c r="O122" s="367">
        <f t="shared" si="39"/>
        <v>1.0053172449589087</v>
      </c>
      <c r="P122" s="368">
        <f t="shared" si="40"/>
        <v>0.12564458683632457</v>
      </c>
      <c r="Q122" s="369">
        <f t="shared" si="41"/>
        <v>0.56133672475337115</v>
      </c>
      <c r="R122" s="370">
        <f t="shared" si="42"/>
        <v>-120.09948855067266</v>
      </c>
      <c r="S122" s="372">
        <f t="shared" si="43"/>
        <v>59.90051144932734</v>
      </c>
      <c r="U122" s="345">
        <f t="shared" si="50"/>
        <v>1000000000</v>
      </c>
      <c r="V122" s="345">
        <f t="shared" si="51"/>
        <v>40743327.302500002</v>
      </c>
      <c r="X122" s="371">
        <f t="shared" si="44"/>
        <v>17.698813499365706</v>
      </c>
      <c r="Y122" s="372">
        <f t="shared" si="45"/>
        <v>-21.237302602661185</v>
      </c>
      <c r="AA122" s="371">
        <f t="shared" si="46"/>
        <v>40.363748493221664</v>
      </c>
      <c r="AB122" s="372">
        <f t="shared" si="47"/>
        <v>-98.862185948011472</v>
      </c>
      <c r="AD122">
        <f t="shared" si="52"/>
        <v>0</v>
      </c>
      <c r="AE122">
        <f t="shared" si="53"/>
        <v>0</v>
      </c>
    </row>
    <row r="123" spans="1:31" x14ac:dyDescent="0.2">
      <c r="A123" s="373">
        <v>6456.5</v>
      </c>
      <c r="B123" s="390">
        <f t="shared" si="49"/>
        <v>6.4565000000000001</v>
      </c>
      <c r="C123" s="363">
        <f t="shared" si="27"/>
        <v>9.1663165491819552</v>
      </c>
      <c r="D123" s="364">
        <f t="shared" si="28"/>
        <v>1.4614836801118738</v>
      </c>
      <c r="E123" s="364">
        <f t="shared" si="29"/>
        <v>1.0011842120354182</v>
      </c>
      <c r="F123" s="365">
        <f t="shared" si="30"/>
        <v>4.8642462588756985E-2</v>
      </c>
      <c r="G123" s="364">
        <f t="shared" si="31"/>
        <v>1.0182841449332312</v>
      </c>
      <c r="H123" s="365">
        <f t="shared" si="32"/>
        <v>-0.18978847138774191</v>
      </c>
      <c r="I123" s="363">
        <f t="shared" si="33"/>
        <v>26782.761405621368</v>
      </c>
      <c r="J123" s="366">
        <f t="shared" si="34"/>
        <v>1.5707589893454421</v>
      </c>
      <c r="K123" s="374">
        <f t="shared" si="35"/>
        <v>8.3468194836017666</v>
      </c>
      <c r="L123" s="375">
        <f t="shared" si="36"/>
        <v>1.4507017401305182</v>
      </c>
      <c r="M123" s="363">
        <f t="shared" si="37"/>
        <v>1.032610256392255</v>
      </c>
      <c r="N123" s="366">
        <f t="shared" si="38"/>
        <v>0.25198430772613833</v>
      </c>
      <c r="O123" s="367">
        <f t="shared" si="39"/>
        <v>1.0054400676105455</v>
      </c>
      <c r="P123" s="368">
        <f t="shared" si="40"/>
        <v>0.12708256404962073</v>
      </c>
      <c r="Q123" s="369">
        <f t="shared" si="41"/>
        <v>0.45826952949526045</v>
      </c>
      <c r="R123" s="370">
        <f t="shared" si="42"/>
        <v>-120.42162302050126</v>
      </c>
      <c r="S123" s="372">
        <f t="shared" si="43"/>
        <v>59.578376979498742</v>
      </c>
      <c r="U123" s="345">
        <f t="shared" si="50"/>
        <v>1000000000</v>
      </c>
      <c r="V123" s="345">
        <f t="shared" si="51"/>
        <v>41686392.25</v>
      </c>
      <c r="X123" s="371">
        <f t="shared" si="44"/>
        <v>17.691259019532644</v>
      </c>
      <c r="Y123" s="372">
        <f t="shared" si="45"/>
        <v>-21.316411040556513</v>
      </c>
      <c r="AA123" s="371">
        <f t="shared" si="46"/>
        <v>40.268235777796619</v>
      </c>
      <c r="AB123" s="372">
        <f t="shared" si="47"/>
        <v>-99.105211979944713</v>
      </c>
      <c r="AD123">
        <f t="shared" si="52"/>
        <v>0</v>
      </c>
      <c r="AE123">
        <f t="shared" si="53"/>
        <v>0</v>
      </c>
    </row>
    <row r="124" spans="1:31" x14ac:dyDescent="0.2">
      <c r="A124" s="373">
        <v>6531.7</v>
      </c>
      <c r="B124" s="390">
        <f t="shared" si="49"/>
        <v>6.5316999999999998</v>
      </c>
      <c r="C124" s="363">
        <f t="shared" si="27"/>
        <v>9.2718148416722173</v>
      </c>
      <c r="D124" s="364">
        <f t="shared" si="28"/>
        <v>1.4627323743741467</v>
      </c>
      <c r="E124" s="364">
        <f t="shared" si="29"/>
        <v>1.0012119413435436</v>
      </c>
      <c r="F124" s="365">
        <f t="shared" si="30"/>
        <v>4.9208101092050899E-2</v>
      </c>
      <c r="G124" s="364">
        <f t="shared" si="31"/>
        <v>1.0187086080680456</v>
      </c>
      <c r="H124" s="365">
        <f t="shared" si="32"/>
        <v>-0.19194537404837139</v>
      </c>
      <c r="I124" s="363">
        <f t="shared" si="33"/>
        <v>27094.704974878878</v>
      </c>
      <c r="J124" s="366">
        <f t="shared" si="34"/>
        <v>1.5707594192145722</v>
      </c>
      <c r="K124" s="374">
        <f t="shared" si="35"/>
        <v>8.4426488853762134</v>
      </c>
      <c r="L124" s="375">
        <f t="shared" si="36"/>
        <v>1.4520713683132929</v>
      </c>
      <c r="M124" s="363">
        <f t="shared" si="37"/>
        <v>1.0333619768043449</v>
      </c>
      <c r="N124" s="366">
        <f t="shared" si="38"/>
        <v>0.25479450305880197</v>
      </c>
      <c r="O124" s="367">
        <f t="shared" si="39"/>
        <v>1.0055672604663313</v>
      </c>
      <c r="P124" s="368">
        <f t="shared" si="40"/>
        <v>0.12855452627335479</v>
      </c>
      <c r="Q124" s="369">
        <f t="shared" si="41"/>
        <v>0.35388506037989886</v>
      </c>
      <c r="R124" s="370">
        <f t="shared" si="42"/>
        <v>-120.75124092281749</v>
      </c>
      <c r="S124" s="372">
        <f t="shared" si="43"/>
        <v>59.248759077182513</v>
      </c>
      <c r="U124" s="345">
        <f t="shared" si="50"/>
        <v>1000000000</v>
      </c>
      <c r="V124" s="345">
        <f t="shared" si="51"/>
        <v>42663104.890000001</v>
      </c>
      <c r="X124" s="371">
        <f t="shared" si="44"/>
        <v>17.68351081767959</v>
      </c>
      <c r="Y124" s="372">
        <f t="shared" si="45"/>
        <v>-21.398974088131578</v>
      </c>
      <c r="AA124" s="371">
        <f t="shared" si="46"/>
        <v>40.171599510534307</v>
      </c>
      <c r="AB124" s="372">
        <f t="shared" si="47"/>
        <v>-99.352266834685878</v>
      </c>
      <c r="AD124">
        <f t="shared" si="52"/>
        <v>0</v>
      </c>
      <c r="AE124">
        <f t="shared" si="53"/>
        <v>0</v>
      </c>
    </row>
    <row r="125" spans="1:31" x14ac:dyDescent="0.2">
      <c r="A125" s="373">
        <v>6606.9</v>
      </c>
      <c r="B125" s="390">
        <f t="shared" si="49"/>
        <v>6.6068999999999996</v>
      </c>
      <c r="C125" s="363">
        <f t="shared" si="27"/>
        <v>9.377327265817641</v>
      </c>
      <c r="D125" s="364">
        <f t="shared" si="28"/>
        <v>1.4639529702245766</v>
      </c>
      <c r="E125" s="364">
        <f t="shared" si="29"/>
        <v>1.0012399909685392</v>
      </c>
      <c r="F125" s="365">
        <f t="shared" si="30"/>
        <v>4.977370808370335E-2</v>
      </c>
      <c r="G125" s="364">
        <f t="shared" si="31"/>
        <v>1.0191378065080869</v>
      </c>
      <c r="H125" s="365">
        <f t="shared" si="32"/>
        <v>-0.19410047001734243</v>
      </c>
      <c r="I125" s="363">
        <f t="shared" si="33"/>
        <v>27406.648544141281</v>
      </c>
      <c r="J125" s="366">
        <f t="shared" si="34"/>
        <v>1.570759839298127</v>
      </c>
      <c r="K125" s="374">
        <f t="shared" si="35"/>
        <v>8.5384937690477773</v>
      </c>
      <c r="L125" s="375">
        <f t="shared" si="36"/>
        <v>1.4534102507147826</v>
      </c>
      <c r="M125" s="363">
        <f t="shared" si="37"/>
        <v>1.0341218459785653</v>
      </c>
      <c r="N125" s="366">
        <f t="shared" si="38"/>
        <v>0.25760059068097246</v>
      </c>
      <c r="O125" s="367">
        <f t="shared" si="39"/>
        <v>1.0056959137687007</v>
      </c>
      <c r="P125" s="368">
        <f t="shared" si="40"/>
        <v>0.13002620630584799</v>
      </c>
      <c r="Q125" s="369">
        <f t="shared" si="41"/>
        <v>0.25062543111824459</v>
      </c>
      <c r="R125" s="370">
        <f t="shared" si="42"/>
        <v>-121.08065671439248</v>
      </c>
      <c r="S125" s="372">
        <f t="shared" si="43"/>
        <v>58.919343285607525</v>
      </c>
      <c r="U125" s="345">
        <f t="shared" si="50"/>
        <v>1000000000</v>
      </c>
      <c r="V125" s="345">
        <f t="shared" si="51"/>
        <v>43651127.609999992</v>
      </c>
      <c r="X125" s="371">
        <f t="shared" si="44"/>
        <v>17.675746782827925</v>
      </c>
      <c r="Y125" s="372">
        <f t="shared" si="45"/>
        <v>-21.483062824066966</v>
      </c>
      <c r="AA125" s="371">
        <f t="shared" si="46"/>
        <v>40.076103916124318</v>
      </c>
      <c r="AB125" s="372">
        <f t="shared" si="47"/>
        <v>-99.59759389032547</v>
      </c>
      <c r="AD125">
        <f t="shared" si="52"/>
        <v>0</v>
      </c>
      <c r="AE125">
        <f t="shared" si="53"/>
        <v>0</v>
      </c>
    </row>
    <row r="126" spans="1:31" x14ac:dyDescent="0.2">
      <c r="A126" s="373">
        <v>6683.85</v>
      </c>
      <c r="B126" s="390">
        <f t="shared" si="49"/>
        <v>6.6838500000000005</v>
      </c>
      <c r="C126" s="363">
        <f t="shared" si="27"/>
        <v>9.4853092355750857</v>
      </c>
      <c r="D126" s="364">
        <f t="shared" si="28"/>
        <v>1.4651738585162424</v>
      </c>
      <c r="E126" s="364">
        <f t="shared" si="29"/>
        <v>1.0012690249009095</v>
      </c>
      <c r="F126" s="365">
        <f t="shared" si="30"/>
        <v>5.0352444477209844E-2</v>
      </c>
      <c r="G126" s="364">
        <f t="shared" si="31"/>
        <v>1.0195818885872312</v>
      </c>
      <c r="H126" s="365">
        <f t="shared" si="32"/>
        <v>-0.19630382908453203</v>
      </c>
      <c r="I126" s="363">
        <f t="shared" si="33"/>
        <v>27725.851438491147</v>
      </c>
      <c r="J126" s="366">
        <f t="shared" si="34"/>
        <v>1.5707602593723169</v>
      </c>
      <c r="K126" s="374">
        <f t="shared" si="35"/>
        <v>8.636584574327772</v>
      </c>
      <c r="L126" s="375">
        <f t="shared" si="36"/>
        <v>1.4547495261855965</v>
      </c>
      <c r="M126" s="363">
        <f t="shared" si="37"/>
        <v>1.0349078149691575</v>
      </c>
      <c r="N126" s="366">
        <f t="shared" si="38"/>
        <v>0.26046769072630077</v>
      </c>
      <c r="O126" s="367">
        <f t="shared" si="39"/>
        <v>1.0058290723771437</v>
      </c>
      <c r="P126" s="368">
        <f t="shared" si="40"/>
        <v>0.13153183884425418</v>
      </c>
      <c r="Q126" s="369">
        <f t="shared" si="41"/>
        <v>0.1460998824606837</v>
      </c>
      <c r="R126" s="370">
        <f t="shared" si="42"/>
        <v>-121.41752084203253</v>
      </c>
      <c r="S126" s="372">
        <f t="shared" si="43"/>
        <v>58.58247915796747</v>
      </c>
      <c r="U126" s="345">
        <f t="shared" si="50"/>
        <v>1000000000</v>
      </c>
      <c r="V126" s="345">
        <f t="shared" si="51"/>
        <v>44673850.822500005</v>
      </c>
      <c r="X126" s="371">
        <f t="shared" si="44"/>
        <v>17.667783770434923</v>
      </c>
      <c r="Y126" s="372">
        <f t="shared" si="45"/>
        <v>-21.570624792601233</v>
      </c>
      <c r="AA126" s="371">
        <f t="shared" si="46"/>
        <v>39.979541379859761</v>
      </c>
      <c r="AB126" s="372">
        <f t="shared" si="47"/>
        <v>-99.846896049431265</v>
      </c>
      <c r="AD126">
        <f t="shared" si="52"/>
        <v>0</v>
      </c>
      <c r="AE126">
        <f t="shared" si="53"/>
        <v>0</v>
      </c>
    </row>
    <row r="127" spans="1:31" x14ac:dyDescent="0.2">
      <c r="A127" s="373">
        <v>6760.8</v>
      </c>
      <c r="B127" s="390">
        <f t="shared" si="49"/>
        <v>6.7608000000000006</v>
      </c>
      <c r="C127" s="363">
        <f t="shared" si="27"/>
        <v>9.5933050255357877</v>
      </c>
      <c r="D127" s="364">
        <f t="shared" si="28"/>
        <v>1.4663672604677969</v>
      </c>
      <c r="E127" s="364">
        <f t="shared" si="29"/>
        <v>1.001298394174621</v>
      </c>
      <c r="F127" s="365">
        <f t="shared" si="30"/>
        <v>5.0931147114480595E-2</v>
      </c>
      <c r="G127" s="364">
        <f t="shared" si="31"/>
        <v>1.02003091619957</v>
      </c>
      <c r="H127" s="365">
        <f t="shared" si="32"/>
        <v>-0.19850525895086527</v>
      </c>
      <c r="I127" s="363">
        <f t="shared" si="33"/>
        <v>28045.05433284579</v>
      </c>
      <c r="J127" s="366">
        <f t="shared" si="34"/>
        <v>1.570760669884115</v>
      </c>
      <c r="K127" s="374">
        <f t="shared" si="35"/>
        <v>8.7346905227469769</v>
      </c>
      <c r="L127" s="375">
        <f t="shared" si="36"/>
        <v>1.4560587191193306</v>
      </c>
      <c r="M127" s="363">
        <f t="shared" si="37"/>
        <v>1.0357022782212393</v>
      </c>
      <c r="N127" s="366">
        <f t="shared" si="38"/>
        <v>0.2633304157018454</v>
      </c>
      <c r="O127" s="367">
        <f t="shared" si="39"/>
        <v>1.0059637592929849</v>
      </c>
      <c r="P127" s="368">
        <f t="shared" si="40"/>
        <v>0.13303716931130213</v>
      </c>
      <c r="Q127" s="369">
        <f t="shared" si="41"/>
        <v>4.2697566144390818E-2</v>
      </c>
      <c r="R127" s="370">
        <f t="shared" si="42"/>
        <v>-121.75415659149201</v>
      </c>
      <c r="S127" s="372">
        <f t="shared" si="43"/>
        <v>58.245843408507994</v>
      </c>
      <c r="U127" s="345">
        <f t="shared" si="50"/>
        <v>1000000000</v>
      </c>
      <c r="V127" s="345">
        <f t="shared" si="51"/>
        <v>45708416.640000001</v>
      </c>
      <c r="X127" s="371">
        <f t="shared" si="44"/>
        <v>17.659800430373906</v>
      </c>
      <c r="Y127" s="372">
        <f t="shared" si="45"/>
        <v>-21.659659142630527</v>
      </c>
      <c r="AA127" s="371">
        <f t="shared" si="46"/>
        <v>39.884122403604486</v>
      </c>
      <c r="AB127" s="372">
        <f t="shared" si="47"/>
        <v>-100.0944974488615</v>
      </c>
      <c r="AD127">
        <f t="shared" si="52"/>
        <v>6760.8</v>
      </c>
      <c r="AE127">
        <f t="shared" si="53"/>
        <v>58.245843408507994</v>
      </c>
    </row>
    <row r="128" spans="1:31" x14ac:dyDescent="0.2">
      <c r="A128" s="373">
        <v>6839.55</v>
      </c>
      <c r="B128" s="390">
        <f t="shared" si="49"/>
        <v>6.83955</v>
      </c>
      <c r="C128" s="363">
        <f t="shared" si="27"/>
        <v>9.7038408602447337</v>
      </c>
      <c r="D128" s="364">
        <f t="shared" si="28"/>
        <v>1.4675610740360832</v>
      </c>
      <c r="E128" s="364">
        <f t="shared" si="29"/>
        <v>1.0013287976175458</v>
      </c>
      <c r="F128" s="365">
        <f t="shared" si="30"/>
        <v>5.1523351304317962E-2</v>
      </c>
      <c r="G128" s="364">
        <f t="shared" si="31"/>
        <v>1.0204955609832729</v>
      </c>
      <c r="H128" s="365">
        <f t="shared" si="32"/>
        <v>-0.20075616724113032</v>
      </c>
      <c r="I128" s="363">
        <f t="shared" si="33"/>
        <v>28371.723961576092</v>
      </c>
      <c r="J128" s="366">
        <f t="shared" si="34"/>
        <v>1.5707610804347685</v>
      </c>
      <c r="K128" s="374">
        <f t="shared" si="35"/>
        <v>8.8351064994089743</v>
      </c>
      <c r="L128" s="375">
        <f t="shared" si="36"/>
        <v>1.4573684311965707</v>
      </c>
      <c r="M128" s="363">
        <f t="shared" si="37"/>
        <v>1.0365240996573484</v>
      </c>
      <c r="N128" s="366">
        <f t="shared" si="38"/>
        <v>0.26625553682352593</v>
      </c>
      <c r="O128" s="367">
        <f t="shared" si="39"/>
        <v>1.006103178645968</v>
      </c>
      <c r="P128" s="368">
        <f t="shared" si="40"/>
        <v>0.13457739596224955</v>
      </c>
      <c r="Q128" s="369">
        <f t="shared" si="41"/>
        <v>-6.19878824073316E-2</v>
      </c>
      <c r="R128" s="370">
        <f t="shared" si="42"/>
        <v>-122.09842194513547</v>
      </c>
      <c r="S128" s="372">
        <f t="shared" si="43"/>
        <v>57.90157805486453</v>
      </c>
      <c r="U128" s="345">
        <f t="shared" si="50"/>
        <v>6839.55</v>
      </c>
      <c r="V128" s="345">
        <f t="shared" si="51"/>
        <v>46779444.202500001</v>
      </c>
      <c r="X128" s="371">
        <f t="shared" si="44"/>
        <v>17.651607512898671</v>
      </c>
      <c r="Y128" s="372">
        <f t="shared" si="45"/>
        <v>-21.752238785989736</v>
      </c>
      <c r="AA128" s="371">
        <f t="shared" si="46"/>
        <v>39.787629872528001</v>
      </c>
      <c r="AB128" s="372">
        <f t="shared" si="47"/>
        <v>-100.34618315914575</v>
      </c>
      <c r="AD128">
        <f t="shared" si="52"/>
        <v>0</v>
      </c>
      <c r="AE128">
        <f t="shared" si="53"/>
        <v>0</v>
      </c>
    </row>
    <row r="129" spans="1:31" x14ac:dyDescent="0.2">
      <c r="A129" s="373">
        <v>6918.3</v>
      </c>
      <c r="B129" s="390">
        <f t="shared" si="49"/>
        <v>6.9183000000000003</v>
      </c>
      <c r="C129" s="363">
        <f t="shared" si="27"/>
        <v>9.8143902132470249</v>
      </c>
      <c r="D129" s="364">
        <f t="shared" si="28"/>
        <v>1.4687279949893133</v>
      </c>
      <c r="E129" s="364">
        <f t="shared" si="29"/>
        <v>1.0013595522108936</v>
      </c>
      <c r="F129" s="365">
        <f t="shared" si="30"/>
        <v>5.211551932527924E-2</v>
      </c>
      <c r="G129" s="364">
        <f t="shared" si="31"/>
        <v>1.020965371476239</v>
      </c>
      <c r="H129" s="365">
        <f t="shared" si="32"/>
        <v>-0.20300501534724485</v>
      </c>
      <c r="I129" s="363">
        <f t="shared" si="33"/>
        <v>28698.393590311061</v>
      </c>
      <c r="J129" s="366">
        <f t="shared" si="34"/>
        <v>1.5707614816389455</v>
      </c>
      <c r="K129" s="374">
        <f t="shared" si="35"/>
        <v>8.9355372906938992</v>
      </c>
      <c r="L129" s="375">
        <f t="shared" si="36"/>
        <v>1.4586487044639809</v>
      </c>
      <c r="M129" s="363">
        <f t="shared" si="37"/>
        <v>1.0373547758428934</v>
      </c>
      <c r="N129" s="366">
        <f t="shared" si="38"/>
        <v>0.2691759982380717</v>
      </c>
      <c r="O129" s="367">
        <f t="shared" si="39"/>
        <v>1.0062441976533274</v>
      </c>
      <c r="P129" s="368">
        <f t="shared" si="40"/>
        <v>0.13611729919917487</v>
      </c>
      <c r="Q129" s="369">
        <f t="shared" si="41"/>
        <v>-0.16555145025277124</v>
      </c>
      <c r="R129" s="370">
        <f t="shared" si="42"/>
        <v>-122.44243117013536</v>
      </c>
      <c r="S129" s="372">
        <f t="shared" si="43"/>
        <v>57.557568829864636</v>
      </c>
      <c r="U129" s="345">
        <f t="shared" si="50"/>
        <v>6918.3</v>
      </c>
      <c r="V129" s="345">
        <f t="shared" si="51"/>
        <v>47862874.890000001</v>
      </c>
      <c r="X129" s="371">
        <f t="shared" si="44"/>
        <v>17.643389799578102</v>
      </c>
      <c r="Y129" s="372">
        <f t="shared" si="45"/>
        <v>-21.846237631841458</v>
      </c>
      <c r="AA129" s="371">
        <f t="shared" si="46"/>
        <v>39.692284018003129</v>
      </c>
      <c r="AB129" s="372">
        <f t="shared" si="47"/>
        <v>-100.5961935382939</v>
      </c>
      <c r="AD129">
        <f t="shared" si="52"/>
        <v>0</v>
      </c>
      <c r="AE129">
        <f t="shared" si="53"/>
        <v>0</v>
      </c>
    </row>
    <row r="130" spans="1:31" x14ac:dyDescent="0.2">
      <c r="A130" s="373">
        <v>6998.9</v>
      </c>
      <c r="B130" s="390">
        <f t="shared" si="49"/>
        <v>6.9988999999999999</v>
      </c>
      <c r="C130" s="363">
        <f t="shared" si="27"/>
        <v>9.9275501257475476</v>
      </c>
      <c r="D130" s="364">
        <f t="shared" si="28"/>
        <v>1.4698954159713227</v>
      </c>
      <c r="E130" s="364">
        <f t="shared" si="29"/>
        <v>1.0013913928805249</v>
      </c>
      <c r="F130" s="365">
        <f t="shared" si="30"/>
        <v>5.2721560711687585E-2</v>
      </c>
      <c r="G130" s="364">
        <f t="shared" si="31"/>
        <v>1.0214515605123453</v>
      </c>
      <c r="H130" s="365">
        <f t="shared" si="32"/>
        <v>-0.20530453943171556</v>
      </c>
      <c r="I130" s="363">
        <f t="shared" si="33"/>
        <v>29032.737362709871</v>
      </c>
      <c r="J130" s="366">
        <f t="shared" si="34"/>
        <v>1.5707618829190848</v>
      </c>
      <c r="K130" s="374">
        <f t="shared" si="35"/>
        <v>9.0383422338666826</v>
      </c>
      <c r="L130" s="375">
        <f t="shared" si="36"/>
        <v>1.4599295895353142</v>
      </c>
      <c r="M130" s="363">
        <f t="shared" si="37"/>
        <v>1.0382141133608029</v>
      </c>
      <c r="N130" s="366">
        <f t="shared" si="38"/>
        <v>0.27216020187289552</v>
      </c>
      <c r="O130" s="367">
        <f t="shared" si="39"/>
        <v>1.0063901854221335</v>
      </c>
      <c r="P130" s="368">
        <f t="shared" si="40"/>
        <v>0.13769303933078411</v>
      </c>
      <c r="Q130" s="369">
        <f t="shared" si="41"/>
        <v>-0.27041351128857549</v>
      </c>
      <c r="R130" s="370">
        <f t="shared" si="42"/>
        <v>-122.79424809266222</v>
      </c>
      <c r="S130" s="372">
        <f t="shared" si="43"/>
        <v>57.205751907337785</v>
      </c>
      <c r="U130" s="345">
        <f t="shared" si="50"/>
        <v>6998.9</v>
      </c>
      <c r="V130" s="345">
        <f t="shared" si="51"/>
        <v>48984601.209999993</v>
      </c>
      <c r="X130" s="371">
        <f t="shared" si="44"/>
        <v>17.634951692611185</v>
      </c>
      <c r="Y130" s="372">
        <f t="shared" si="45"/>
        <v>-21.943853588465675</v>
      </c>
      <c r="AA130" s="371">
        <f t="shared" si="46"/>
        <v>39.595860063934232</v>
      </c>
      <c r="AB130" s="372">
        <f t="shared" si="47"/>
        <v>-100.85039450419653</v>
      </c>
      <c r="AD130">
        <f t="shared" si="52"/>
        <v>0</v>
      </c>
      <c r="AE130">
        <f t="shared" si="53"/>
        <v>0</v>
      </c>
    </row>
    <row r="131" spans="1:31" x14ac:dyDescent="0.2">
      <c r="A131" s="373">
        <v>7079.5</v>
      </c>
      <c r="B131" s="390">
        <f t="shared" si="49"/>
        <v>7.0795000000000003</v>
      </c>
      <c r="C131" s="363">
        <f t="shared" si="27"/>
        <v>10.040723263246777</v>
      </c>
      <c r="D131" s="364">
        <f t="shared" si="28"/>
        <v>1.4710365215116481</v>
      </c>
      <c r="E131" s="364">
        <f t="shared" si="29"/>
        <v>1.0014236013238904</v>
      </c>
      <c r="F131" s="365">
        <f t="shared" si="30"/>
        <v>5.3327563336858494E-2</v>
      </c>
      <c r="G131" s="364">
        <f t="shared" si="31"/>
        <v>1.0219431456353352</v>
      </c>
      <c r="H131" s="365">
        <f t="shared" si="32"/>
        <v>-0.2076018633750189</v>
      </c>
      <c r="I131" s="363">
        <f t="shared" si="33"/>
        <v>29367.081135113254</v>
      </c>
      <c r="J131" s="366">
        <f t="shared" si="34"/>
        <v>1.5707622750620875</v>
      </c>
      <c r="K131" s="374">
        <f t="shared" si="35"/>
        <v>9.1411616723884705</v>
      </c>
      <c r="L131" s="375">
        <f t="shared" si="36"/>
        <v>1.4611816619294988</v>
      </c>
      <c r="M131" s="363">
        <f t="shared" si="37"/>
        <v>1.0390826813239358</v>
      </c>
      <c r="N131" s="366">
        <f t="shared" si="38"/>
        <v>0.27513944301803633</v>
      </c>
      <c r="O131" s="367">
        <f t="shared" si="39"/>
        <v>1.0065378478029623</v>
      </c>
      <c r="P131" s="368">
        <f t="shared" si="40"/>
        <v>0.13926843314499793</v>
      </c>
      <c r="Q131" s="369">
        <f t="shared" si="41"/>
        <v>-0.37415483725067578</v>
      </c>
      <c r="R131" s="370">
        <f t="shared" si="42"/>
        <v>-123.14577956253423</v>
      </c>
      <c r="S131" s="372">
        <f t="shared" si="43"/>
        <v>56.85422043746577</v>
      </c>
      <c r="U131" s="345">
        <f t="shared" si="50"/>
        <v>7079.5</v>
      </c>
      <c r="V131" s="345">
        <f t="shared" si="51"/>
        <v>50119320.25</v>
      </c>
      <c r="X131" s="371">
        <f t="shared" si="44"/>
        <v>17.626484343539467</v>
      </c>
      <c r="Y131" s="372">
        <f t="shared" si="45"/>
        <v>-22.042835536654469</v>
      </c>
      <c r="AA131" s="371">
        <f t="shared" si="46"/>
        <v>39.500586087043857</v>
      </c>
      <c r="AB131" s="372">
        <f t="shared" si="47"/>
        <v>-101.10294402587971</v>
      </c>
      <c r="AD131">
        <f t="shared" si="52"/>
        <v>0</v>
      </c>
      <c r="AE131">
        <f t="shared" si="53"/>
        <v>0</v>
      </c>
    </row>
    <row r="132" spans="1:31" x14ac:dyDescent="0.2">
      <c r="A132" s="373">
        <v>7161.95</v>
      </c>
      <c r="B132" s="390">
        <f t="shared" si="49"/>
        <v>7.16195</v>
      </c>
      <c r="C132" s="363">
        <f t="shared" si="27"/>
        <v>10.156507270078997</v>
      </c>
      <c r="D132" s="364">
        <f t="shared" si="28"/>
        <v>1.4721775044150753</v>
      </c>
      <c r="E132" s="364">
        <f t="shared" si="29"/>
        <v>1.0014569295387388</v>
      </c>
      <c r="F132" s="365">
        <f t="shared" si="30"/>
        <v>5.3947434885457564E-2</v>
      </c>
      <c r="G132" s="364">
        <f t="shared" si="31"/>
        <v>1.0224515892160673</v>
      </c>
      <c r="H132" s="365">
        <f t="shared" si="32"/>
        <v>-0.20994961903392681</v>
      </c>
      <c r="I132" s="363">
        <f t="shared" si="33"/>
        <v>29709.09905118059</v>
      </c>
      <c r="J132" s="366">
        <f t="shared" si="34"/>
        <v>1.570762667073393</v>
      </c>
      <c r="K132" s="374">
        <f t="shared" si="35"/>
        <v>9.246355604492118</v>
      </c>
      <c r="L132" s="375">
        <f t="shared" si="36"/>
        <v>1.4624336588142919</v>
      </c>
      <c r="M132" s="363">
        <f t="shared" si="37"/>
        <v>1.0399807119605664</v>
      </c>
      <c r="N132" s="366">
        <f t="shared" si="38"/>
        <v>0.27818188949317646</v>
      </c>
      <c r="O132" s="367">
        <f t="shared" si="39"/>
        <v>1.0066906315849196</v>
      </c>
      <c r="P132" s="368">
        <f t="shared" si="40"/>
        <v>0.14087962444966678</v>
      </c>
      <c r="Q132" s="369">
        <f t="shared" si="41"/>
        <v>-0.47914495494883919</v>
      </c>
      <c r="R132" s="370">
        <f t="shared" si="42"/>
        <v>-123.50507566211294</v>
      </c>
      <c r="S132" s="372">
        <f t="shared" si="43"/>
        <v>56.494924337887056</v>
      </c>
      <c r="U132" s="345">
        <f t="shared" si="50"/>
        <v>7161.95</v>
      </c>
      <c r="V132" s="345">
        <f t="shared" si="51"/>
        <v>51293527.802499995</v>
      </c>
      <c r="X132" s="371">
        <f t="shared" si="44"/>
        <v>17.617790841652536</v>
      </c>
      <c r="Y132" s="372">
        <f t="shared" si="45"/>
        <v>-22.145443202322856</v>
      </c>
      <c r="AA132" s="371">
        <f t="shared" si="46"/>
        <v>39.40428947123263</v>
      </c>
      <c r="AB132" s="372">
        <f t="shared" si="47"/>
        <v>-101.35963245979011</v>
      </c>
      <c r="AD132">
        <f t="shared" si="52"/>
        <v>0</v>
      </c>
      <c r="AE132">
        <f t="shared" si="53"/>
        <v>0</v>
      </c>
    </row>
    <row r="133" spans="1:31" x14ac:dyDescent="0.2">
      <c r="A133" s="373">
        <v>7244.4</v>
      </c>
      <c r="B133" s="390">
        <f t="shared" si="49"/>
        <v>7.2443999999999997</v>
      </c>
      <c r="C133" s="363">
        <f t="shared" si="27"/>
        <v>10.272304201002273</v>
      </c>
      <c r="D133" s="364">
        <f t="shared" si="28"/>
        <v>1.4732927647545691</v>
      </c>
      <c r="E133" s="364">
        <f t="shared" si="29"/>
        <v>1.0014906425284382</v>
      </c>
      <c r="F133" s="365">
        <f t="shared" si="30"/>
        <v>5.4567264938970357E-2</v>
      </c>
      <c r="G133" s="364">
        <f t="shared" si="31"/>
        <v>1.0229656628852881</v>
      </c>
      <c r="H133" s="365">
        <f t="shared" si="32"/>
        <v>-0.21229502796199992</v>
      </c>
      <c r="I133" s="363">
        <f t="shared" si="33"/>
        <v>30051.116967252387</v>
      </c>
      <c r="J133" s="366">
        <f t="shared" si="34"/>
        <v>1.5707630501615764</v>
      </c>
      <c r="K133" s="374">
        <f t="shared" si="35"/>
        <v>9.351563704137936</v>
      </c>
      <c r="L133" s="375">
        <f t="shared" si="36"/>
        <v>1.4636574868462955</v>
      </c>
      <c r="M133" s="363">
        <f t="shared" si="37"/>
        <v>1.0408883524957966</v>
      </c>
      <c r="N133" s="366">
        <f t="shared" si="38"/>
        <v>0.28121905809698139</v>
      </c>
      <c r="O133" s="367">
        <f t="shared" si="39"/>
        <v>1.0068451665499254</v>
      </c>
      <c r="P133" s="368">
        <f t="shared" si="40"/>
        <v>0.14249044532096417</v>
      </c>
      <c r="Q133" s="369">
        <f t="shared" si="41"/>
        <v>-0.58301666362292104</v>
      </c>
      <c r="R133" s="370">
        <f t="shared" si="42"/>
        <v>-123.86405570816081</v>
      </c>
      <c r="S133" s="372">
        <f t="shared" si="43"/>
        <v>56.135944291839195</v>
      </c>
      <c r="U133" s="345">
        <f t="shared" si="50"/>
        <v>7244.4</v>
      </c>
      <c r="V133" s="345">
        <f t="shared" si="51"/>
        <v>52481331.359999992</v>
      </c>
      <c r="X133" s="371">
        <f t="shared" si="44"/>
        <v>17.609063711703342</v>
      </c>
      <c r="Y133" s="372">
        <f t="shared" si="45"/>
        <v>-22.249361913361742</v>
      </c>
      <c r="AA133" s="371">
        <f t="shared" si="46"/>
        <v>39.309144892507739</v>
      </c>
      <c r="AB133" s="372">
        <f t="shared" si="47"/>
        <v>-101.61469379479904</v>
      </c>
      <c r="AD133">
        <f t="shared" si="52"/>
        <v>0</v>
      </c>
      <c r="AE133">
        <f t="shared" si="53"/>
        <v>0</v>
      </c>
    </row>
    <row r="134" spans="1:31" x14ac:dyDescent="0.2">
      <c r="A134" s="373">
        <v>7328.75</v>
      </c>
      <c r="B134" s="390">
        <f t="shared" si="49"/>
        <v>7.3287500000000003</v>
      </c>
      <c r="C134" s="363">
        <f t="shared" si="27"/>
        <v>10.390782511271382</v>
      </c>
      <c r="D134" s="364">
        <f t="shared" si="28"/>
        <v>1.4744080008421356</v>
      </c>
      <c r="E134" s="364">
        <f t="shared" si="29"/>
        <v>1.0015255305461273</v>
      </c>
      <c r="F134" s="365">
        <f t="shared" si="30"/>
        <v>5.5201335090445135E-2</v>
      </c>
      <c r="G134" s="364">
        <f t="shared" si="31"/>
        <v>1.023497400354866</v>
      </c>
      <c r="H134" s="365">
        <f t="shared" si="32"/>
        <v>-0.21469203345384319</v>
      </c>
      <c r="I134" s="363">
        <f t="shared" si="33"/>
        <v>30401.016436276321</v>
      </c>
      <c r="J134" s="366">
        <f t="shared" si="34"/>
        <v>1.5707634331578606</v>
      </c>
      <c r="K134" s="374">
        <f t="shared" si="35"/>
        <v>9.4592104156339563</v>
      </c>
      <c r="L134" s="375">
        <f t="shared" si="36"/>
        <v>1.4648813434319872</v>
      </c>
      <c r="M134" s="363">
        <f t="shared" si="37"/>
        <v>1.0418268273811944</v>
      </c>
      <c r="N134" s="366">
        <f t="shared" si="38"/>
        <v>0.28432071035775769</v>
      </c>
      <c r="O134" s="367">
        <f t="shared" si="39"/>
        <v>1.0070050742051484</v>
      </c>
      <c r="P134" s="368">
        <f t="shared" si="40"/>
        <v>0.14413799881951997</v>
      </c>
      <c r="Q134" s="369">
        <f t="shared" si="41"/>
        <v>-0.68815184466865209</v>
      </c>
      <c r="R134" s="370">
        <f t="shared" si="42"/>
        <v>-124.23097235714606</v>
      </c>
      <c r="S134" s="372">
        <f t="shared" si="43"/>
        <v>55.769027642853942</v>
      </c>
      <c r="U134" s="345">
        <f t="shared" si="50"/>
        <v>7328.75</v>
      </c>
      <c r="V134" s="345">
        <f t="shared" si="51"/>
        <v>53710576.5625</v>
      </c>
      <c r="X134" s="371">
        <f t="shared" si="44"/>
        <v>17.600099244523268</v>
      </c>
      <c r="Y134" s="372">
        <f t="shared" si="45"/>
        <v>-22.356973624525629</v>
      </c>
      <c r="AA134" s="371">
        <f t="shared" si="46"/>
        <v>39.212974178642085</v>
      </c>
      <c r="AB134" s="372">
        <f t="shared" si="47"/>
        <v>-101.87399873262042</v>
      </c>
      <c r="AD134">
        <f t="shared" si="52"/>
        <v>0</v>
      </c>
      <c r="AE134">
        <f t="shared" si="53"/>
        <v>0</v>
      </c>
    </row>
    <row r="135" spans="1:31" x14ac:dyDescent="0.2">
      <c r="A135" s="373">
        <v>7413.1</v>
      </c>
      <c r="B135" s="390">
        <f t="shared" si="49"/>
        <v>7.4131</v>
      </c>
      <c r="C135" s="363">
        <f t="shared" si="27"/>
        <v>10.509273453690616</v>
      </c>
      <c r="D135" s="364">
        <f t="shared" si="28"/>
        <v>1.475498089923176</v>
      </c>
      <c r="E135" s="364">
        <f t="shared" si="29"/>
        <v>1.0015608211939584</v>
      </c>
      <c r="F135" s="365">
        <f t="shared" si="30"/>
        <v>5.5835360813062375E-2</v>
      </c>
      <c r="G135" s="364">
        <f t="shared" si="31"/>
        <v>1.0240350123404365</v>
      </c>
      <c r="H135" s="365">
        <f t="shared" si="32"/>
        <v>-0.21708653586582369</v>
      </c>
      <c r="I135" s="363">
        <f t="shared" si="33"/>
        <v>30750.915905304617</v>
      </c>
      <c r="J135" s="366">
        <f t="shared" si="34"/>
        <v>1.5707638074382941</v>
      </c>
      <c r="K135" s="374">
        <f t="shared" si="35"/>
        <v>9.5668709765161228</v>
      </c>
      <c r="L135" s="375">
        <f t="shared" si="36"/>
        <v>1.4660776564926281</v>
      </c>
      <c r="M135" s="363">
        <f t="shared" si="37"/>
        <v>1.0427753068012564</v>
      </c>
      <c r="N135" s="366">
        <f t="shared" si="38"/>
        <v>0.28741675000499534</v>
      </c>
      <c r="O135" s="367">
        <f t="shared" si="39"/>
        <v>1.0071668133859843</v>
      </c>
      <c r="P135" s="368">
        <f t="shared" si="40"/>
        <v>0.14578515604131398</v>
      </c>
      <c r="Q135" s="369">
        <f t="shared" si="41"/>
        <v>-0.79217072768491925</v>
      </c>
      <c r="R135" s="370">
        <f t="shared" si="42"/>
        <v>-124.59754066276676</v>
      </c>
      <c r="S135" s="372">
        <f t="shared" si="43"/>
        <v>55.402459337233239</v>
      </c>
      <c r="U135" s="345">
        <f t="shared" si="50"/>
        <v>7413.1</v>
      </c>
      <c r="V135" s="345">
        <f t="shared" si="51"/>
        <v>54954051.610000007</v>
      </c>
      <c r="X135" s="371">
        <f t="shared" si="44"/>
        <v>17.591096789859471</v>
      </c>
      <c r="Y135" s="372">
        <f t="shared" si="45"/>
        <v>-22.465841384980013</v>
      </c>
      <c r="AA135" s="371">
        <f t="shared" si="46"/>
        <v>39.117957750289612</v>
      </c>
      <c r="AB135" s="372">
        <f t="shared" si="47"/>
        <v>-102.13169927778677</v>
      </c>
      <c r="AD135">
        <f t="shared" si="52"/>
        <v>0</v>
      </c>
      <c r="AE135">
        <f t="shared" si="53"/>
        <v>0</v>
      </c>
    </row>
    <row r="136" spans="1:31" x14ac:dyDescent="0.2">
      <c r="A136" s="373">
        <v>7499.45</v>
      </c>
      <c r="B136" s="390">
        <f t="shared" si="49"/>
        <v>7.4994499999999995</v>
      </c>
      <c r="C136" s="363">
        <f t="shared" si="27"/>
        <v>10.630586546721331</v>
      </c>
      <c r="D136" s="364">
        <f t="shared" si="28"/>
        <v>1.4765888526068711</v>
      </c>
      <c r="E136" s="364">
        <f t="shared" si="29"/>
        <v>1.0015973656276467</v>
      </c>
      <c r="F136" s="365">
        <f t="shared" si="30"/>
        <v>5.6484373199071285E-2</v>
      </c>
      <c r="G136" s="364">
        <f t="shared" si="31"/>
        <v>1.0245914469440147</v>
      </c>
      <c r="H136" s="365">
        <f t="shared" si="32"/>
        <v>-0.21953519633752308</v>
      </c>
      <c r="I136" s="363">
        <f t="shared" si="33"/>
        <v>31109.111745861355</v>
      </c>
      <c r="J136" s="366">
        <f t="shared" si="34"/>
        <v>1.5707641818719447</v>
      </c>
      <c r="K136" s="374">
        <f t="shared" si="35"/>
        <v>9.677098111050471</v>
      </c>
      <c r="L136" s="375">
        <f t="shared" si="36"/>
        <v>1.4672747603806711</v>
      </c>
      <c r="M136" s="363">
        <f t="shared" si="37"/>
        <v>1.0437566100524243</v>
      </c>
      <c r="N136" s="366">
        <f t="shared" si="38"/>
        <v>0.29058033929575616</v>
      </c>
      <c r="O136" s="367">
        <f t="shared" si="39"/>
        <v>1.0073342840056274</v>
      </c>
      <c r="P136" s="368">
        <f t="shared" si="40"/>
        <v>0.14747095356505266</v>
      </c>
      <c r="Q136" s="369">
        <f t="shared" si="41"/>
        <v>-0.89752682646570936</v>
      </c>
      <c r="R136" s="370">
        <f t="shared" si="42"/>
        <v>-124.97243085208164</v>
      </c>
      <c r="S136" s="372">
        <f t="shared" si="43"/>
        <v>55.027569147918356</v>
      </c>
      <c r="U136" s="345">
        <f t="shared" si="50"/>
        <v>7499.45</v>
      </c>
      <c r="V136" s="345">
        <f t="shared" si="51"/>
        <v>56241750.302499995</v>
      </c>
      <c r="X136" s="371">
        <f t="shared" si="44"/>
        <v>17.581840219572683</v>
      </c>
      <c r="Y136" s="372">
        <f t="shared" si="45"/>
        <v>-22.578534152626489</v>
      </c>
      <c r="AA136" s="371">
        <f t="shared" si="46"/>
        <v>39.021858221795604</v>
      </c>
      <c r="AB136" s="372">
        <f t="shared" si="47"/>
        <v>-102.39389669945515</v>
      </c>
      <c r="AD136">
        <f t="shared" si="52"/>
        <v>0</v>
      </c>
      <c r="AE136">
        <f t="shared" si="53"/>
        <v>0</v>
      </c>
    </row>
    <row r="137" spans="1:31" x14ac:dyDescent="0.2">
      <c r="A137" s="373">
        <v>7585.8</v>
      </c>
      <c r="B137" s="390">
        <f t="shared" si="49"/>
        <v>7.5857999999999999</v>
      </c>
      <c r="C137" s="363">
        <f t="shared" si="27"/>
        <v>10.751912002214032</v>
      </c>
      <c r="D137" s="364">
        <f t="shared" si="28"/>
        <v>1.4776550000243944</v>
      </c>
      <c r="E137" s="364">
        <f t="shared" si="29"/>
        <v>1.0016343319203611</v>
      </c>
      <c r="F137" s="365">
        <f t="shared" si="30"/>
        <v>5.7133337953547296E-2</v>
      </c>
      <c r="G137" s="364">
        <f t="shared" si="31"/>
        <v>1.0251540182439856</v>
      </c>
      <c r="H137" s="365">
        <f t="shared" si="32"/>
        <v>-0.22198118397085639</v>
      </c>
      <c r="I137" s="363">
        <f t="shared" si="33"/>
        <v>31467.307586422365</v>
      </c>
      <c r="J137" s="366">
        <f t="shared" si="34"/>
        <v>1.570764547781156</v>
      </c>
      <c r="K137" s="374">
        <f t="shared" si="35"/>
        <v>9.7873388010482731</v>
      </c>
      <c r="L137" s="375">
        <f t="shared" si="36"/>
        <v>1.4684448985104888</v>
      </c>
      <c r="M137" s="363">
        <f t="shared" si="37"/>
        <v>1.0447483398453266</v>
      </c>
      <c r="N137" s="366">
        <f t="shared" si="38"/>
        <v>0.29373795405012854</v>
      </c>
      <c r="O137" s="367">
        <f t="shared" si="39"/>
        <v>1.0075036726132069</v>
      </c>
      <c r="P137" s="368">
        <f t="shared" si="40"/>
        <v>0.14915632663500916</v>
      </c>
      <c r="Q137" s="369">
        <f t="shared" si="41"/>
        <v>-1.0017672891747935</v>
      </c>
      <c r="R137" s="370">
        <f t="shared" si="42"/>
        <v>-125.34693817785428</v>
      </c>
      <c r="S137" s="372">
        <f t="shared" si="43"/>
        <v>54.653061822145716</v>
      </c>
      <c r="U137" s="345">
        <f t="shared" si="50"/>
        <v>7585.8</v>
      </c>
      <c r="V137" s="345">
        <f t="shared" si="51"/>
        <v>57544361.640000001</v>
      </c>
      <c r="X137" s="371">
        <f t="shared" si="44"/>
        <v>17.572541277133041</v>
      </c>
      <c r="Y137" s="372">
        <f t="shared" si="45"/>
        <v>-22.692429140278019</v>
      </c>
      <c r="AA137" s="371">
        <f t="shared" si="46"/>
        <v>38.926916701526167</v>
      </c>
      <c r="AB137" s="372">
        <f t="shared" si="47"/>
        <v>-102.65450903757629</v>
      </c>
      <c r="AD137">
        <f t="shared" si="52"/>
        <v>0</v>
      </c>
      <c r="AE137">
        <f t="shared" si="53"/>
        <v>0</v>
      </c>
    </row>
    <row r="138" spans="1:31" x14ac:dyDescent="0.2">
      <c r="A138" s="373">
        <v>7674.15</v>
      </c>
      <c r="B138" s="390">
        <f t="shared" si="49"/>
        <v>7.67415</v>
      </c>
      <c r="C138" s="363">
        <f t="shared" si="27"/>
        <v>10.876059907299528</v>
      </c>
      <c r="D138" s="364">
        <f t="shared" si="28"/>
        <v>1.4787212207191442</v>
      </c>
      <c r="E138" s="364">
        <f t="shared" si="29"/>
        <v>1.001672590989608</v>
      </c>
      <c r="F138" s="365">
        <f t="shared" si="30"/>
        <v>5.7797283875074539E-2</v>
      </c>
      <c r="G138" s="364">
        <f t="shared" si="31"/>
        <v>1.0257359605818392</v>
      </c>
      <c r="H138" s="365">
        <f t="shared" si="32"/>
        <v>-0.22448103214444859</v>
      </c>
      <c r="I138" s="363">
        <f t="shared" si="33"/>
        <v>31833.799798511907</v>
      </c>
      <c r="J138" s="366">
        <f t="shared" si="34"/>
        <v>1.570764913642634</v>
      </c>
      <c r="K138" s="374">
        <f t="shared" si="35"/>
        <v>9.900146394244894</v>
      </c>
      <c r="L138" s="375">
        <f t="shared" si="36"/>
        <v>1.4696151652740179</v>
      </c>
      <c r="M138" s="363">
        <f t="shared" si="37"/>
        <v>1.0457738002794048</v>
      </c>
      <c r="N138" s="366">
        <f t="shared" si="38"/>
        <v>0.29696247250687252</v>
      </c>
      <c r="O138" s="367">
        <f t="shared" si="39"/>
        <v>1.0076789688997565</v>
      </c>
      <c r="P138" s="368">
        <f t="shared" si="40"/>
        <v>0.15088029142605139</v>
      </c>
      <c r="Q138" s="369">
        <f t="shared" si="41"/>
        <v>-1.1072945625296682</v>
      </c>
      <c r="R138" s="370">
        <f t="shared" si="42"/>
        <v>-125.72971439572551</v>
      </c>
      <c r="S138" s="372">
        <f t="shared" si="43"/>
        <v>54.270285604274491</v>
      </c>
      <c r="U138" s="345">
        <f t="shared" si="50"/>
        <v>7674.15</v>
      </c>
      <c r="V138" s="345">
        <f t="shared" si="51"/>
        <v>58892578.222499996</v>
      </c>
      <c r="X138" s="371">
        <f t="shared" si="44"/>
        <v>17.56298190502406</v>
      </c>
      <c r="Y138" s="372">
        <f t="shared" si="45"/>
        <v>-22.810150054809917</v>
      </c>
      <c r="AA138" s="371">
        <f t="shared" si="46"/>
        <v>38.830948800280268</v>
      </c>
      <c r="AB138" s="372">
        <f t="shared" si="47"/>
        <v>-102.91956434091558</v>
      </c>
      <c r="AD138">
        <f t="shared" si="52"/>
        <v>0</v>
      </c>
      <c r="AE138">
        <f t="shared" si="53"/>
        <v>0</v>
      </c>
    </row>
    <row r="139" spans="1:31" x14ac:dyDescent="0.2">
      <c r="A139" s="373">
        <v>7762.5</v>
      </c>
      <c r="B139" s="390">
        <f t="shared" si="49"/>
        <v>7.7625000000000002</v>
      </c>
      <c r="C139" s="363">
        <f t="shared" si="27"/>
        <v>11.000219897487526</v>
      </c>
      <c r="D139" s="364">
        <f t="shared" si="28"/>
        <v>1.4797633736119746</v>
      </c>
      <c r="E139" s="364">
        <f t="shared" si="29"/>
        <v>1.0017112915865169</v>
      </c>
      <c r="F139" s="365">
        <f t="shared" si="30"/>
        <v>5.8461178786830416E-2</v>
      </c>
      <c r="G139" s="364">
        <f t="shared" si="31"/>
        <v>1.0263243056982234</v>
      </c>
      <c r="H139" s="365">
        <f t="shared" si="32"/>
        <v>-0.22697802980868176</v>
      </c>
      <c r="I139" s="363">
        <f t="shared" si="33"/>
        <v>32200.292010605623</v>
      </c>
      <c r="J139" s="366">
        <f t="shared" si="34"/>
        <v>1.570765271175903</v>
      </c>
      <c r="K139" s="374">
        <f t="shared" si="35"/>
        <v>10.012967240417876</v>
      </c>
      <c r="L139" s="375">
        <f t="shared" si="36"/>
        <v>1.4707590616746313</v>
      </c>
      <c r="M139" s="363">
        <f t="shared" si="37"/>
        <v>1.046810112797478</v>
      </c>
      <c r="N139" s="366">
        <f t="shared" si="38"/>
        <v>0.30018064000480332</v>
      </c>
      <c r="O139" s="367">
        <f t="shared" si="39"/>
        <v>1.0078562714950421</v>
      </c>
      <c r="P139" s="368">
        <f t="shared" si="40"/>
        <v>0.15260380209445346</v>
      </c>
      <c r="Q139" s="369">
        <f t="shared" si="41"/>
        <v>-1.2117080648251304</v>
      </c>
      <c r="R139" s="370">
        <f t="shared" si="42"/>
        <v>-126.11207176149455</v>
      </c>
      <c r="S139" s="372">
        <f t="shared" si="43"/>
        <v>53.887928238505452</v>
      </c>
      <c r="U139" s="345">
        <f t="shared" si="50"/>
        <v>7762.5</v>
      </c>
      <c r="V139" s="345">
        <f t="shared" si="51"/>
        <v>60256406.25</v>
      </c>
      <c r="X139" s="371">
        <f t="shared" si="44"/>
        <v>17.55337584458595</v>
      </c>
      <c r="Y139" s="372">
        <f t="shared" si="45"/>
        <v>-22.92901751953535</v>
      </c>
      <c r="AA139" s="371">
        <f t="shared" si="46"/>
        <v>38.73614135842292</v>
      </c>
      <c r="AB139" s="372">
        <f t="shared" si="47"/>
        <v>-103.18305424195917</v>
      </c>
      <c r="AD139">
        <f t="shared" si="52"/>
        <v>0</v>
      </c>
      <c r="AE139">
        <f t="shared" si="53"/>
        <v>0</v>
      </c>
    </row>
    <row r="140" spans="1:31" x14ac:dyDescent="0.2">
      <c r="A140" s="373">
        <v>7852.9</v>
      </c>
      <c r="B140" s="390">
        <f t="shared" si="49"/>
        <v>7.8529</v>
      </c>
      <c r="C140" s="363">
        <f t="shared" si="27"/>
        <v>11.127272879941509</v>
      </c>
      <c r="D140" s="364">
        <f t="shared" si="28"/>
        <v>1.4808056338444053</v>
      </c>
      <c r="E140" s="364">
        <f t="shared" si="29"/>
        <v>1.0017513471203241</v>
      </c>
      <c r="F140" s="365">
        <f t="shared" si="30"/>
        <v>5.9140424761438742E-2</v>
      </c>
      <c r="G140" s="364">
        <f t="shared" si="31"/>
        <v>1.0269329181556006</v>
      </c>
      <c r="H140" s="365">
        <f t="shared" si="32"/>
        <v>-0.22952998790511736</v>
      </c>
      <c r="I140" s="363">
        <f t="shared" si="33"/>
        <v>32575.288003516085</v>
      </c>
      <c r="J140" s="366">
        <f t="shared" si="34"/>
        <v>1.5707656286779668</v>
      </c>
      <c r="K140" s="374">
        <f t="shared" si="35"/>
        <v>10.12841914363049</v>
      </c>
      <c r="L140" s="375">
        <f t="shared" si="36"/>
        <v>1.4719031209363189</v>
      </c>
      <c r="M140" s="363">
        <f t="shared" si="37"/>
        <v>1.0478816701738034</v>
      </c>
      <c r="N140" s="366">
        <f t="shared" si="38"/>
        <v>0.30346685570844317</v>
      </c>
      <c r="O140" s="367">
        <f t="shared" si="39"/>
        <v>1.0080397639167522</v>
      </c>
      <c r="P140" s="368">
        <f t="shared" si="40"/>
        <v>0.15436682847864222</v>
      </c>
      <c r="Q140" s="369">
        <f t="shared" si="41"/>
        <v>-1.3174185430629506</v>
      </c>
      <c r="R140" s="370">
        <f t="shared" si="42"/>
        <v>-126.50285835276162</v>
      </c>
      <c r="S140" s="372">
        <f t="shared" si="43"/>
        <v>53.497141647238379</v>
      </c>
      <c r="U140" s="345">
        <f t="shared" si="50"/>
        <v>7852.9</v>
      </c>
      <c r="V140" s="345">
        <f t="shared" si="51"/>
        <v>61668038.409999996</v>
      </c>
      <c r="X140" s="371">
        <f t="shared" si="44"/>
        <v>17.543497486846199</v>
      </c>
      <c r="Y140" s="372">
        <f t="shared" si="45"/>
        <v>-23.05177452621567</v>
      </c>
      <c r="AA140" s="371">
        <f t="shared" si="46"/>
        <v>38.640309237924853</v>
      </c>
      <c r="AB140" s="372">
        <f t="shared" si="47"/>
        <v>-103.45108382654597</v>
      </c>
      <c r="AD140">
        <f t="shared" si="52"/>
        <v>0</v>
      </c>
      <c r="AE140">
        <f t="shared" si="53"/>
        <v>0</v>
      </c>
    </row>
    <row r="141" spans="1:31" x14ac:dyDescent="0.2">
      <c r="A141" s="373">
        <v>7943.3</v>
      </c>
      <c r="B141" s="390">
        <f t="shared" si="49"/>
        <v>7.9432999999999998</v>
      </c>
      <c r="C141" s="363">
        <f t="shared" ref="C141:C204" si="54">SQRT(1+(A141/pole1)^2)</f>
        <v>11.254337677095196</v>
      </c>
      <c r="D141" s="364">
        <f t="shared" ref="D141:D204" si="55">ATAN(A141/pole1)</f>
        <v>1.4818243603108943</v>
      </c>
      <c r="E141" s="364">
        <f t="shared" ref="E141:E204" si="56">SQRT(1+(A141/Zero1)^2)</f>
        <v>1.0017918648001689</v>
      </c>
      <c r="F141" s="365">
        <f t="shared" ref="F141:F204" si="57">ATAN(A141/Zero1)</f>
        <v>5.9819616104899248E-2</v>
      </c>
      <c r="G141" s="364">
        <f t="shared" ref="G141:G204" si="58">IF(VIN_nom&gt;Vout, 1, SQRT(1+(A141/z_RHP)^2))</f>
        <v>1.0275482105556595</v>
      </c>
      <c r="H141" s="365">
        <f t="shared" ref="H141:H204" si="59">IF(VIN_nom&gt;Vout, 0, -ATAN(A141/z_RHP))</f>
        <v>-0.23207890637708933</v>
      </c>
      <c r="I141" s="363">
        <f t="shared" ref="I141:I204" si="60">SQRT(1+(A141/Pole2)^2)</f>
        <v>32950.283996430619</v>
      </c>
      <c r="J141" s="366">
        <f t="shared" ref="J141:J204" si="61">ATAN(A141/Pole2)</f>
        <v>1.5707659780428112</v>
      </c>
      <c r="K141" s="374">
        <f t="shared" ref="K141:K147" si="62">SQRT(1+(A141/Zero2)^2)</f>
        <v>10.243884004816335</v>
      </c>
      <c r="L141" s="375">
        <f t="shared" ref="L141:L147" si="63">ATAN(A141/Zero2)</f>
        <v>1.4730213909002894</v>
      </c>
      <c r="M141" s="363">
        <f t="shared" ref="M141:M204" si="64">SQRT(1+(A141/pole4)^2)</f>
        <v>1.0489645206569003</v>
      </c>
      <c r="N141" s="366">
        <f t="shared" ref="N141:N204" si="65">ATAN(A141/pole4)</f>
        <v>0.30674632201855501</v>
      </c>
      <c r="O141" s="367">
        <f t="shared" ref="O141:O204" si="66">SQRT((1-(V141/pterm2))^2+(A141/pterm1)^2)</f>
        <v>1.0082253551309535</v>
      </c>
      <c r="P141" s="368">
        <f t="shared" ref="P141:P204" si="67">IF((ATAN((A141/pterm1)/(1-A141^2/pterm2))&gt;0),ATAN((A141/pterm1)/(1-A141^2/pterm2)),PI()+ATAN((A141/pterm1)/(1-A141^2/pterm2)))</f>
        <v>0.15612936898751892</v>
      </c>
      <c r="Q141" s="369">
        <f t="shared" ref="Q141:Q204" si="68">20*LOG10(((E141*K141*G141)/(C141*I141*O141*M141))*Adc)</f>
        <v>-1.4220170135020294</v>
      </c>
      <c r="R141" s="370">
        <f t="shared" ref="R141:R204" si="69">((F141+L141+H141)-(D141+J141+P141+N141))*radconv</f>
        <v>-126.89318813236413</v>
      </c>
      <c r="S141" s="372">
        <f t="shared" ref="S141:S204" si="70">IF(R141&gt;0,R141,R141+180)</f>
        <v>53.106811867635869</v>
      </c>
      <c r="U141" s="345">
        <f t="shared" si="50"/>
        <v>7943.3</v>
      </c>
      <c r="V141" s="345">
        <f t="shared" si="51"/>
        <v>63096014.890000001</v>
      </c>
      <c r="X141" s="371">
        <f t="shared" ref="X141:X204" si="71">20*LOG10((K141/(I141*M141))*AEA)</f>
        <v>17.533568149164747</v>
      </c>
      <c r="Y141" s="372">
        <f t="shared" ref="Y141:Y204" si="72">(L141-(J141+N141))*radconv</f>
        <v>-23.175621972821279</v>
      </c>
      <c r="AA141" s="371">
        <f t="shared" ref="AA141:AA204" si="73">20*LOG10((E141*G141/(C141*O141))*Acs*Am)</f>
        <v>38.545640105167223</v>
      </c>
      <c r="AB141" s="372">
        <f t="shared" ref="AB141:AB204" si="74">(F141+H141-(D141+P141))*radconv</f>
        <v>-103.71756615954284</v>
      </c>
      <c r="AD141">
        <f t="shared" si="52"/>
        <v>0</v>
      </c>
      <c r="AE141">
        <f t="shared" si="53"/>
        <v>0</v>
      </c>
    </row>
    <row r="142" spans="1:31" x14ac:dyDescent="0.2">
      <c r="A142" s="373">
        <v>8035.8</v>
      </c>
      <c r="B142" s="390">
        <f t="shared" ref="B142:B205" si="75">A142/1000</f>
        <v>8.0358000000000001</v>
      </c>
      <c r="C142" s="363">
        <f t="shared" si="54"/>
        <v>11.384366017637358</v>
      </c>
      <c r="D142" s="364">
        <f t="shared" si="55"/>
        <v>1.4828432115545225</v>
      </c>
      <c r="E142" s="364">
        <f t="shared" si="56"/>
        <v>1.001833802025081</v>
      </c>
      <c r="F142" s="365">
        <f t="shared" si="57"/>
        <v>6.0514527927162526E-2</v>
      </c>
      <c r="G142" s="364">
        <f t="shared" si="58"/>
        <v>1.028184698250791</v>
      </c>
      <c r="H142" s="365">
        <f t="shared" si="59"/>
        <v>-0.23468386126596713</v>
      </c>
      <c r="I142" s="363">
        <f t="shared" si="60"/>
        <v>33333.991179450117</v>
      </c>
      <c r="J142" s="366">
        <f t="shared" si="61"/>
        <v>1.5707663273869419</v>
      </c>
      <c r="K142" s="374">
        <f t="shared" si="62"/>
        <v>10.362044086079942</v>
      </c>
      <c r="L142" s="375">
        <f t="shared" si="63"/>
        <v>1.4741398399174126</v>
      </c>
      <c r="M142" s="363">
        <f t="shared" si="64"/>
        <v>1.0500841790707136</v>
      </c>
      <c r="N142" s="366">
        <f t="shared" si="65"/>
        <v>0.31009493254045123</v>
      </c>
      <c r="O142" s="367">
        <f t="shared" si="66"/>
        <v>1.0084174292248005</v>
      </c>
      <c r="P142" s="368">
        <f t="shared" si="67"/>
        <v>0.15793234504418119</v>
      </c>
      <c r="Q142" s="369">
        <f t="shared" si="68"/>
        <v>-1.5279213007065819</v>
      </c>
      <c r="R142" s="370">
        <f t="shared" si="69"/>
        <v>-127.29210319184699</v>
      </c>
      <c r="S142" s="372">
        <f t="shared" si="70"/>
        <v>52.707896808153009</v>
      </c>
      <c r="U142" s="345">
        <f t="shared" ref="U142:U205" si="76">IF(Q142&lt;0,A142,1000000000)</f>
        <v>8035.8</v>
      </c>
      <c r="V142" s="345">
        <f t="shared" ref="V142:V205" si="77">A142^2</f>
        <v>64574081.640000001</v>
      </c>
      <c r="X142" s="371">
        <f t="shared" si="71"/>
        <v>17.523354416998288</v>
      </c>
      <c r="Y142" s="372">
        <f t="shared" si="72"/>
        <v>-23.303420830767628</v>
      </c>
      <c r="AA142" s="371">
        <f t="shared" si="73"/>
        <v>38.449949550129134</v>
      </c>
      <c r="AB142" s="372">
        <f t="shared" si="74"/>
        <v>-103.98868236107933</v>
      </c>
      <c r="AD142">
        <f t="shared" ref="AD142:AD205" si="78">SUM((Q143&lt;0)*(Q142&gt;0))*A142</f>
        <v>0</v>
      </c>
      <c r="AE142">
        <f t="shared" si="53"/>
        <v>0</v>
      </c>
    </row>
    <row r="143" spans="1:31" x14ac:dyDescent="0.2">
      <c r="A143" s="373">
        <v>8128.3</v>
      </c>
      <c r="B143" s="390">
        <f t="shared" si="75"/>
        <v>8.1282999999999994</v>
      </c>
      <c r="C143" s="363">
        <f t="shared" si="54"/>
        <v>11.514405908897935</v>
      </c>
      <c r="D143" s="364">
        <f t="shared" si="55"/>
        <v>1.4838390506747203</v>
      </c>
      <c r="E143" s="364">
        <f t="shared" si="56"/>
        <v>1.0018762229973435</v>
      </c>
      <c r="F143" s="365">
        <f t="shared" si="57"/>
        <v>6.120938123768891E-2</v>
      </c>
      <c r="G143" s="364">
        <f t="shared" si="58"/>
        <v>1.0288281543309989</v>
      </c>
      <c r="H143" s="365">
        <f t="shared" si="59"/>
        <v>-0.23728557537716138</v>
      </c>
      <c r="I143" s="363">
        <f t="shared" si="60"/>
        <v>33717.69836247358</v>
      </c>
      <c r="J143" s="366">
        <f t="shared" si="61"/>
        <v>1.570766668780005</v>
      </c>
      <c r="K143" s="374">
        <f t="shared" si="62"/>
        <v>10.480216837221201</v>
      </c>
      <c r="L143" s="375">
        <f t="shared" si="63"/>
        <v>1.4752330674782683</v>
      </c>
      <c r="M143" s="363">
        <f t="shared" si="64"/>
        <v>1.0512155871207025</v>
      </c>
      <c r="N143" s="366">
        <f t="shared" si="65"/>
        <v>0.31343637234206601</v>
      </c>
      <c r="O143" s="367">
        <f t="shared" si="66"/>
        <v>1.0086116988917331</v>
      </c>
      <c r="P143" s="368">
        <f t="shared" si="67"/>
        <v>0.1597348012579059</v>
      </c>
      <c r="Q143" s="369">
        <f t="shared" si="68"/>
        <v>-1.6327152728719438</v>
      </c>
      <c r="R143" s="370">
        <f t="shared" si="69"/>
        <v>-127.69052141399119</v>
      </c>
      <c r="S143" s="372">
        <f t="shared" si="70"/>
        <v>52.309478586008808</v>
      </c>
      <c r="U143" s="345">
        <f t="shared" si="76"/>
        <v>8128.3</v>
      </c>
      <c r="V143" s="345">
        <f t="shared" si="77"/>
        <v>66069260.890000001</v>
      </c>
      <c r="X143" s="371">
        <f t="shared" si="71"/>
        <v>17.513085439320971</v>
      </c>
      <c r="Y143" s="372">
        <f t="shared" si="72"/>
        <v>-23.432253464141656</v>
      </c>
      <c r="AA143" s="371">
        <f t="shared" si="73"/>
        <v>38.355424555641086</v>
      </c>
      <c r="AB143" s="372">
        <f t="shared" si="74"/>
        <v>-104.25826794984948</v>
      </c>
      <c r="AD143">
        <f t="shared" si="78"/>
        <v>0</v>
      </c>
      <c r="AE143">
        <f t="shared" si="53"/>
        <v>0</v>
      </c>
    </row>
    <row r="144" spans="1:31" x14ac:dyDescent="0.2">
      <c r="A144" s="373">
        <v>8222.9500000000007</v>
      </c>
      <c r="B144" s="390">
        <f t="shared" si="75"/>
        <v>8.2229500000000009</v>
      </c>
      <c r="C144" s="363">
        <f t="shared" si="54"/>
        <v>11.647479901960498</v>
      </c>
      <c r="D144" s="364">
        <f t="shared" si="55"/>
        <v>1.484835017675048</v>
      </c>
      <c r="E144" s="364">
        <f t="shared" si="56"/>
        <v>1.0019201306502901</v>
      </c>
      <c r="F144" s="365">
        <f t="shared" si="57"/>
        <v>6.1920323933048083E-2</v>
      </c>
      <c r="G144" s="364">
        <f t="shared" si="58"/>
        <v>1.0294937660056993</v>
      </c>
      <c r="H144" s="365">
        <f t="shared" si="59"/>
        <v>-0.2399443767535934</v>
      </c>
      <c r="I144" s="363">
        <f t="shared" si="60"/>
        <v>34110.324144890219</v>
      </c>
      <c r="J144" s="366">
        <f t="shared" si="61"/>
        <v>1.5707670101576259</v>
      </c>
      <c r="K144" s="374">
        <f t="shared" si="62"/>
        <v>10.601148979410993</v>
      </c>
      <c r="L144" s="375">
        <f t="shared" si="63"/>
        <v>1.4763264747440443</v>
      </c>
      <c r="M144" s="363">
        <f t="shared" si="64"/>
        <v>1.0523854156892296</v>
      </c>
      <c r="N144" s="366">
        <f t="shared" si="65"/>
        <v>0.31684800180019185</v>
      </c>
      <c r="O144" s="367">
        <f t="shared" si="66"/>
        <v>1.0088127557321926</v>
      </c>
      <c r="P144" s="368">
        <f t="shared" si="67"/>
        <v>0.1615786084386058</v>
      </c>
      <c r="Q144" s="369">
        <f t="shared" si="68"/>
        <v>-1.7388226657072643</v>
      </c>
      <c r="R144" s="370">
        <f t="shared" si="69"/>
        <v>-128.09767647840496</v>
      </c>
      <c r="S144" s="372">
        <f t="shared" si="70"/>
        <v>51.902323521595036</v>
      </c>
      <c r="U144" s="345">
        <f t="shared" si="76"/>
        <v>8222.9500000000007</v>
      </c>
      <c r="V144" s="345">
        <f t="shared" si="77"/>
        <v>67616906.702500015</v>
      </c>
      <c r="X144" s="371">
        <f t="shared" si="71"/>
        <v>17.502519741186532</v>
      </c>
      <c r="Y144" s="372">
        <f t="shared" si="72"/>
        <v>-23.565097371385558</v>
      </c>
      <c r="AA144" s="371">
        <f t="shared" si="73"/>
        <v>38.259882860940209</v>
      </c>
      <c r="AB144" s="372">
        <f t="shared" si="74"/>
        <v>-104.53257910701942</v>
      </c>
      <c r="AD144">
        <f t="shared" si="78"/>
        <v>0</v>
      </c>
      <c r="AE144">
        <f t="shared" si="53"/>
        <v>0</v>
      </c>
    </row>
    <row r="145" spans="1:31" x14ac:dyDescent="0.2">
      <c r="A145" s="373">
        <v>8270.2750000000015</v>
      </c>
      <c r="B145" s="390">
        <f t="shared" si="75"/>
        <v>8.2702750000000016</v>
      </c>
      <c r="C145" s="363">
        <f t="shared" si="54"/>
        <v>11.714021157306142</v>
      </c>
      <c r="D145" s="364">
        <f t="shared" si="55"/>
        <v>1.4853245151209575</v>
      </c>
      <c r="E145" s="364">
        <f t="shared" si="56"/>
        <v>1.0019422743680142</v>
      </c>
      <c r="F145" s="365">
        <f t="shared" si="57"/>
        <v>6.2275771824414725E-2</v>
      </c>
      <c r="G145" s="364">
        <f t="shared" si="58"/>
        <v>1.0298292983379826</v>
      </c>
      <c r="H145" s="365">
        <f t="shared" si="59"/>
        <v>-0.2412724838964502</v>
      </c>
      <c r="I145" s="363">
        <f t="shared" si="60"/>
        <v>34306.637036100008</v>
      </c>
      <c r="J145" s="366">
        <f t="shared" si="61"/>
        <v>1.5707671779162382</v>
      </c>
      <c r="K145" s="374">
        <f t="shared" si="62"/>
        <v>10.661619722424289</v>
      </c>
      <c r="L145" s="375">
        <f t="shared" si="63"/>
        <v>1.4768638763679682</v>
      </c>
      <c r="M145" s="363">
        <f t="shared" si="64"/>
        <v>1.0529749156571424</v>
      </c>
      <c r="N145" s="366">
        <f t="shared" si="65"/>
        <v>0.318550963944363</v>
      </c>
      <c r="O145" s="367">
        <f t="shared" si="66"/>
        <v>1.0089141455123505</v>
      </c>
      <c r="P145" s="368">
        <f t="shared" si="67"/>
        <v>0.16250030384205705</v>
      </c>
      <c r="Q145" s="369">
        <f t="shared" si="68"/>
        <v>-1.7914589766198161</v>
      </c>
      <c r="R145" s="370">
        <f t="shared" si="69"/>
        <v>-128.30105245343725</v>
      </c>
      <c r="S145" s="372">
        <f t="shared" si="70"/>
        <v>51.698947546562749</v>
      </c>
      <c r="U145" s="345">
        <f t="shared" si="76"/>
        <v>8270.2750000000015</v>
      </c>
      <c r="V145" s="345">
        <f t="shared" si="77"/>
        <v>68397448.575625017</v>
      </c>
      <c r="X145" s="371">
        <f t="shared" si="71"/>
        <v>17.497214632052749</v>
      </c>
      <c r="Y145" s="372">
        <f t="shared" si="72"/>
        <v>-23.631888681899593</v>
      </c>
      <c r="AA145" s="371">
        <f t="shared" si="73"/>
        <v>38.212551659161434</v>
      </c>
      <c r="AB145" s="372">
        <f t="shared" si="74"/>
        <v>-104.66916377153765</v>
      </c>
      <c r="AD145">
        <f t="shared" si="78"/>
        <v>0</v>
      </c>
      <c r="AE145">
        <f t="shared" si="53"/>
        <v>0</v>
      </c>
    </row>
    <row r="146" spans="1:31" x14ac:dyDescent="0.2">
      <c r="A146" s="373">
        <v>8317.6</v>
      </c>
      <c r="B146" s="390">
        <f t="shared" si="75"/>
        <v>8.3176000000000005</v>
      </c>
      <c r="C146" s="363">
        <f t="shared" si="54"/>
        <v>11.78056518771416</v>
      </c>
      <c r="D146" s="364">
        <f t="shared" si="55"/>
        <v>1.4858084827037799</v>
      </c>
      <c r="E146" s="364">
        <f t="shared" si="56"/>
        <v>1.0019645446687302</v>
      </c>
      <c r="F146" s="365">
        <f t="shared" si="57"/>
        <v>6.2631203959864698E-2</v>
      </c>
      <c r="G146" s="364">
        <f t="shared" si="58"/>
        <v>1.0301666459686607</v>
      </c>
      <c r="H146" s="365">
        <f t="shared" si="59"/>
        <v>-0.24259972355130052</v>
      </c>
      <c r="I146" s="363">
        <f t="shared" si="60"/>
        <v>34502.949927310743</v>
      </c>
      <c r="J146" s="366">
        <f t="shared" si="61"/>
        <v>1.570767343765844</v>
      </c>
      <c r="K146" s="374">
        <f t="shared" si="62"/>
        <v>10.722093509787264</v>
      </c>
      <c r="L146" s="375">
        <f t="shared" si="63"/>
        <v>1.4773952161353043</v>
      </c>
      <c r="M146" s="363">
        <f t="shared" si="64"/>
        <v>1.0535674659141827</v>
      </c>
      <c r="N146" s="366">
        <f t="shared" si="65"/>
        <v>0.32025201544797866</v>
      </c>
      <c r="O146" s="367">
        <f t="shared" si="66"/>
        <v>1.00901610935867</v>
      </c>
      <c r="P146" s="368">
        <f t="shared" si="67"/>
        <v>0.16342185945590212</v>
      </c>
      <c r="Q146" s="369">
        <f t="shared" si="68"/>
        <v>-1.8438213936368544</v>
      </c>
      <c r="R146" s="370">
        <f t="shared" si="69"/>
        <v>-128.50429251842513</v>
      </c>
      <c r="S146" s="372">
        <f t="shared" si="70"/>
        <v>51.495707481574868</v>
      </c>
      <c r="U146" s="345">
        <f t="shared" si="76"/>
        <v>8317.6</v>
      </c>
      <c r="V146" s="345">
        <f t="shared" si="77"/>
        <v>69182469.760000005</v>
      </c>
      <c r="X146" s="371">
        <f t="shared" si="71"/>
        <v>17.491894560607449</v>
      </c>
      <c r="Y146" s="372">
        <f t="shared" si="72"/>
        <v>-23.698917730194363</v>
      </c>
      <c r="AA146" s="371">
        <f t="shared" si="73"/>
        <v>38.165509313589702</v>
      </c>
      <c r="AB146" s="372">
        <f t="shared" si="74"/>
        <v>-104.80537478823078</v>
      </c>
      <c r="AD146">
        <f t="shared" si="78"/>
        <v>0</v>
      </c>
      <c r="AE146">
        <f t="shared" si="53"/>
        <v>0</v>
      </c>
    </row>
    <row r="147" spans="1:31" x14ac:dyDescent="0.2">
      <c r="A147" s="373">
        <v>8366.0499999999993</v>
      </c>
      <c r="B147" s="390">
        <f t="shared" si="75"/>
        <v>8.3660499999999995</v>
      </c>
      <c r="C147" s="363">
        <f t="shared" si="54"/>
        <v>11.848693914871637</v>
      </c>
      <c r="D147" s="364">
        <f t="shared" si="55"/>
        <v>1.48629832350336</v>
      </c>
      <c r="E147" s="364">
        <f t="shared" si="56"/>
        <v>1.0019874754979774</v>
      </c>
      <c r="F147" s="365">
        <f t="shared" si="57"/>
        <v>6.2995068938827656E-2</v>
      </c>
      <c r="G147" s="364">
        <f t="shared" si="58"/>
        <v>1.0305138916357632</v>
      </c>
      <c r="H147" s="365">
        <f t="shared" si="59"/>
        <v>-0.24395761141344077</v>
      </c>
      <c r="I147" s="363">
        <f t="shared" si="60"/>
        <v>34703.929527505265</v>
      </c>
      <c r="J147" s="366">
        <f t="shared" si="61"/>
        <v>1.5707675116142024</v>
      </c>
      <c r="K147" s="374">
        <f t="shared" si="62"/>
        <v>10.784007967660353</v>
      </c>
      <c r="L147" s="375">
        <f t="shared" si="63"/>
        <v>1.4779330132507986</v>
      </c>
      <c r="M147" s="363">
        <f t="shared" si="64"/>
        <v>1.0541772566982821</v>
      </c>
      <c r="N147" s="366">
        <f t="shared" si="65"/>
        <v>0.32199151777705648</v>
      </c>
      <c r="O147" s="367">
        <f t="shared" si="66"/>
        <v>1.0091210916294555</v>
      </c>
      <c r="P147" s="368">
        <f t="shared" si="67"/>
        <v>0.16436517650265514</v>
      </c>
      <c r="Q147" s="369">
        <f t="shared" si="68"/>
        <v>-1.8971481633953078</v>
      </c>
      <c r="R147" s="370">
        <f t="shared" si="69"/>
        <v>-128.71222198453893</v>
      </c>
      <c r="S147" s="372">
        <f t="shared" si="70"/>
        <v>51.287778015461072</v>
      </c>
      <c r="U147" s="345">
        <f t="shared" si="76"/>
        <v>8366.0499999999993</v>
      </c>
      <c r="V147" s="345">
        <f t="shared" si="77"/>
        <v>69990792.602499992</v>
      </c>
      <c r="X147" s="371">
        <f t="shared" si="71"/>
        <v>17.486432432284577</v>
      </c>
      <c r="Y147" s="372">
        <f t="shared" si="72"/>
        <v>-23.767779984232785</v>
      </c>
      <c r="AA147" s="371">
        <f t="shared" si="73"/>
        <v>38.117644672154121</v>
      </c>
      <c r="AB147" s="372">
        <f t="shared" si="74"/>
        <v>-104.94444200030613</v>
      </c>
      <c r="AD147">
        <f t="shared" si="78"/>
        <v>0</v>
      </c>
      <c r="AE147">
        <f t="shared" si="53"/>
        <v>0</v>
      </c>
    </row>
    <row r="148" spans="1:31" x14ac:dyDescent="0.2">
      <c r="A148" s="376">
        <v>8414.5</v>
      </c>
      <c r="B148" s="390">
        <f t="shared" si="75"/>
        <v>8.4145000000000003</v>
      </c>
      <c r="C148" s="363">
        <f t="shared" si="54"/>
        <v>11.916825452544606</v>
      </c>
      <c r="D148" s="364">
        <f t="shared" si="55"/>
        <v>1.486782563327866</v>
      </c>
      <c r="E148" s="364">
        <f t="shared" si="56"/>
        <v>1.0020105389820027</v>
      </c>
      <c r="F148" s="365">
        <f t="shared" si="57"/>
        <v>6.3358917215650359E-2</v>
      </c>
      <c r="G148" s="364">
        <f t="shared" si="58"/>
        <v>1.0308630361434856</v>
      </c>
      <c r="H148" s="365">
        <f t="shared" si="59"/>
        <v>-0.24531458196618769</v>
      </c>
      <c r="I148" s="363">
        <f t="shared" si="60"/>
        <v>34904.909127700776</v>
      </c>
      <c r="J148" s="366">
        <f t="shared" si="61"/>
        <v>1.5707676775296464</v>
      </c>
      <c r="K148" s="374">
        <f t="shared" ref="K148:K157" si="79">SQRT(1+(A148/Zero2)^2)</f>
        <v>10.845925508935526</v>
      </c>
      <c r="L148" s="375">
        <f t="shared" ref="L148:L157" si="80">ATAN(A148/Zero2)</f>
        <v>1.4784646701343505</v>
      </c>
      <c r="M148" s="363">
        <f t="shared" si="64"/>
        <v>1.0547902335902055</v>
      </c>
      <c r="N148" s="366">
        <f t="shared" si="65"/>
        <v>0.32372900358256956</v>
      </c>
      <c r="O148" s="367">
        <f t="shared" si="66"/>
        <v>1.0092266753049388</v>
      </c>
      <c r="P148" s="368">
        <f t="shared" si="67"/>
        <v>0.1653083454497197</v>
      </c>
      <c r="Q148" s="369">
        <f t="shared" si="68"/>
        <v>-1.9501945919856118</v>
      </c>
      <c r="R148" s="370">
        <f t="shared" si="69"/>
        <v>-128.92000661227607</v>
      </c>
      <c r="S148" s="372">
        <f t="shared" si="70"/>
        <v>51.079993387723931</v>
      </c>
      <c r="U148" s="345">
        <f t="shared" si="76"/>
        <v>8414.5</v>
      </c>
      <c r="V148" s="345">
        <f t="shared" si="77"/>
        <v>70803810.25</v>
      </c>
      <c r="X148" s="371">
        <f t="shared" si="71"/>
        <v>17.480954445817122</v>
      </c>
      <c r="Y148" s="372">
        <f t="shared" si="72"/>
        <v>-23.836878398609628</v>
      </c>
      <c r="AA148" s="371">
        <f t="shared" si="73"/>
        <v>38.070076230031262</v>
      </c>
      <c r="AB148" s="372">
        <f t="shared" si="74"/>
        <v>-105.08312821366644</v>
      </c>
      <c r="AD148">
        <f t="shared" si="78"/>
        <v>0</v>
      </c>
      <c r="AE148">
        <f t="shared" si="53"/>
        <v>0</v>
      </c>
    </row>
    <row r="149" spans="1:31" x14ac:dyDescent="0.2">
      <c r="A149" s="376">
        <v>8462.9500000000007</v>
      </c>
      <c r="B149" s="390">
        <f t="shared" si="75"/>
        <v>8.4629500000000011</v>
      </c>
      <c r="C149" s="363">
        <f t="shared" si="54"/>
        <v>11.984959752801792</v>
      </c>
      <c r="D149" s="364">
        <f t="shared" si="55"/>
        <v>1.4872612974725967</v>
      </c>
      <c r="E149" s="364">
        <f t="shared" si="56"/>
        <v>1.002033735111646</v>
      </c>
      <c r="F149" s="365">
        <f t="shared" si="57"/>
        <v>6.3722748695152903E-2</v>
      </c>
      <c r="G149" s="364">
        <f t="shared" si="58"/>
        <v>1.0312140775631213</v>
      </c>
      <c r="H149" s="365">
        <f t="shared" si="59"/>
        <v>-0.24667063114645907</v>
      </c>
      <c r="I149" s="363">
        <f t="shared" si="60"/>
        <v>35105.888727897218</v>
      </c>
      <c r="J149" s="366">
        <f t="shared" si="61"/>
        <v>1.5707678415453739</v>
      </c>
      <c r="K149" s="374">
        <f t="shared" si="79"/>
        <v>10.907846081104706</v>
      </c>
      <c r="L149" s="375">
        <f t="shared" si="80"/>
        <v>1.4789902910515831</v>
      </c>
      <c r="M149" s="363">
        <f t="shared" si="64"/>
        <v>1.0554063910385074</v>
      </c>
      <c r="N149" s="366">
        <f t="shared" si="65"/>
        <v>0.32546446589681655</v>
      </c>
      <c r="O149" s="367">
        <f t="shared" si="66"/>
        <v>1.0093328602428551</v>
      </c>
      <c r="P149" s="368">
        <f t="shared" si="67"/>
        <v>0.16625136549670819</v>
      </c>
      <c r="Q149" s="369">
        <f t="shared" si="68"/>
        <v>-2.0029639944704822</v>
      </c>
      <c r="R149" s="370">
        <f t="shared" si="69"/>
        <v>-129.1276452171542</v>
      </c>
      <c r="S149" s="372">
        <f t="shared" si="70"/>
        <v>50.872354782845804</v>
      </c>
      <c r="U149" s="345">
        <f t="shared" si="76"/>
        <v>8462.9500000000007</v>
      </c>
      <c r="V149" s="345">
        <f t="shared" si="77"/>
        <v>71621522.702500015</v>
      </c>
      <c r="X149" s="371">
        <f t="shared" si="71"/>
        <v>17.475460519827383</v>
      </c>
      <c r="Y149" s="372">
        <f t="shared" si="72"/>
        <v>-23.906206602026934</v>
      </c>
      <c r="AA149" s="371">
        <f t="shared" si="73"/>
        <v>38.022800753536139</v>
      </c>
      <c r="AB149" s="372">
        <f t="shared" si="74"/>
        <v>-105.22143861512725</v>
      </c>
      <c r="AD149">
        <f t="shared" si="78"/>
        <v>0</v>
      </c>
      <c r="AE149">
        <f t="shared" si="53"/>
        <v>0</v>
      </c>
    </row>
    <row r="150" spans="1:31" x14ac:dyDescent="0.2">
      <c r="A150" s="376">
        <v>8511.4</v>
      </c>
      <c r="B150" s="390">
        <f t="shared" si="75"/>
        <v>8.5114000000000001</v>
      </c>
      <c r="C150" s="363">
        <f t="shared" si="54"/>
        <v>12.053096768793814</v>
      </c>
      <c r="D150" s="364">
        <f t="shared" si="55"/>
        <v>1.4877346190882335</v>
      </c>
      <c r="E150" s="364">
        <f t="shared" si="56"/>
        <v>1.002057063877696</v>
      </c>
      <c r="F150" s="365">
        <f t="shared" si="57"/>
        <v>6.408656328218193E-2</v>
      </c>
      <c r="G150" s="364">
        <f t="shared" si="58"/>
        <v>1.0315670139581175</v>
      </c>
      <c r="H150" s="365">
        <f t="shared" si="59"/>
        <v>-0.24802575491024259</v>
      </c>
      <c r="I150" s="363">
        <f t="shared" si="60"/>
        <v>35306.868328094599</v>
      </c>
      <c r="J150" s="366">
        <f t="shared" si="61"/>
        <v>1.5707680036938263</v>
      </c>
      <c r="K150" s="374">
        <f t="shared" si="79"/>
        <v>10.969769632842832</v>
      </c>
      <c r="L150" s="375">
        <f t="shared" si="80"/>
        <v>1.479509977927348</v>
      </c>
      <c r="M150" s="363">
        <f t="shared" si="64"/>
        <v>1.0560257234759269</v>
      </c>
      <c r="N150" s="366">
        <f t="shared" si="65"/>
        <v>0.3271978978170707</v>
      </c>
      <c r="O150" s="367">
        <f t="shared" si="66"/>
        <v>1.0094396463001931</v>
      </c>
      <c r="P150" s="368">
        <f t="shared" si="67"/>
        <v>0.16719423584419152</v>
      </c>
      <c r="Q150" s="369">
        <f t="shared" si="68"/>
        <v>-2.0554596277565929</v>
      </c>
      <c r="R150" s="370">
        <f t="shared" si="69"/>
        <v>-129.33513663075519</v>
      </c>
      <c r="S150" s="372">
        <f t="shared" si="70"/>
        <v>50.664863369244813</v>
      </c>
      <c r="U150" s="345">
        <f t="shared" si="76"/>
        <v>8511.4</v>
      </c>
      <c r="V150" s="345">
        <f t="shared" si="77"/>
        <v>72443929.959999993</v>
      </c>
      <c r="X150" s="371">
        <f t="shared" si="71"/>
        <v>17.469950577865447</v>
      </c>
      <c r="Y150" s="372">
        <f t="shared" si="72"/>
        <v>-23.975758360982546</v>
      </c>
      <c r="AA150" s="371">
        <f t="shared" si="73"/>
        <v>37.975815062211964</v>
      </c>
      <c r="AB150" s="372">
        <f t="shared" si="74"/>
        <v>-105.35937826977262</v>
      </c>
      <c r="AD150">
        <f t="shared" si="78"/>
        <v>0</v>
      </c>
      <c r="AE150">
        <f t="shared" si="53"/>
        <v>0</v>
      </c>
    </row>
    <row r="151" spans="1:31" x14ac:dyDescent="0.2">
      <c r="A151" s="376">
        <v>8560.9500000000007</v>
      </c>
      <c r="B151" s="390">
        <f t="shared" si="75"/>
        <v>8.5609500000000001</v>
      </c>
      <c r="C151" s="363">
        <f t="shared" si="54"/>
        <v>12.122783516420542</v>
      </c>
      <c r="D151" s="364">
        <f t="shared" si="55"/>
        <v>1.4882131835516492</v>
      </c>
      <c r="E151" s="364">
        <f t="shared" si="56"/>
        <v>1.0020810594737797</v>
      </c>
      <c r="F151" s="365">
        <f t="shared" si="57"/>
        <v>6.4458620278267195E-2</v>
      </c>
      <c r="G151" s="364">
        <f t="shared" si="58"/>
        <v>1.0319299213291091</v>
      </c>
      <c r="H151" s="365">
        <f t="shared" si="59"/>
        <v>-0.2494106837926986</v>
      </c>
      <c r="I151" s="363">
        <f t="shared" si="60"/>
        <v>35512.410932631785</v>
      </c>
      <c r="J151" s="366">
        <f t="shared" si="61"/>
        <v>1.5707681676253593</v>
      </c>
      <c r="K151" s="374">
        <f t="shared" si="79"/>
        <v>11.033102115177792</v>
      </c>
      <c r="L151" s="375">
        <f t="shared" si="80"/>
        <v>1.4800354298559726</v>
      </c>
      <c r="M151" s="363">
        <f t="shared" si="64"/>
        <v>1.0566623952402721</v>
      </c>
      <c r="N151" s="366">
        <f t="shared" si="65"/>
        <v>0.32896857807141899</v>
      </c>
      <c r="O151" s="367">
        <f t="shared" si="66"/>
        <v>1.0095494784048704</v>
      </c>
      <c r="P151" s="368">
        <f t="shared" si="67"/>
        <v>0.16815835728046868</v>
      </c>
      <c r="Q151" s="369">
        <f t="shared" si="68"/>
        <v>-2.1088672838053135</v>
      </c>
      <c r="R151" s="370">
        <f t="shared" si="69"/>
        <v>-129.5471854486685</v>
      </c>
      <c r="S151" s="372">
        <f t="shared" si="70"/>
        <v>50.4528145513315</v>
      </c>
      <c r="U151" s="345">
        <f t="shared" si="76"/>
        <v>8560.9500000000007</v>
      </c>
      <c r="V151" s="345">
        <f t="shared" si="77"/>
        <v>73289864.902500018</v>
      </c>
      <c r="X151" s="371">
        <f t="shared" si="71"/>
        <v>17.464298898966586</v>
      </c>
      <c r="Y151" s="372">
        <f t="shared" si="72"/>
        <v>-24.047114081243169</v>
      </c>
      <c r="AA151" s="371">
        <f t="shared" si="73"/>
        <v>37.928059085062095</v>
      </c>
      <c r="AB151" s="372">
        <f t="shared" si="74"/>
        <v>-105.50007136742532</v>
      </c>
      <c r="AD151">
        <f t="shared" si="78"/>
        <v>0</v>
      </c>
      <c r="AE151">
        <f t="shared" si="53"/>
        <v>0</v>
      </c>
    </row>
    <row r="152" spans="1:31" x14ac:dyDescent="0.2">
      <c r="A152" s="376">
        <v>8610.5</v>
      </c>
      <c r="B152" s="390">
        <f t="shared" si="75"/>
        <v>8.6105</v>
      </c>
      <c r="C152" s="363">
        <f t="shared" si="54"/>
        <v>12.192473008717187</v>
      </c>
      <c r="D152" s="364">
        <f t="shared" si="55"/>
        <v>1.4886862773840919</v>
      </c>
      <c r="E152" s="364">
        <f t="shared" si="56"/>
        <v>1.002105193777691</v>
      </c>
      <c r="F152" s="365">
        <f t="shared" si="57"/>
        <v>6.4830659404904248E-2</v>
      </c>
      <c r="G152" s="364">
        <f t="shared" si="58"/>
        <v>1.032294806576739</v>
      </c>
      <c r="H152" s="365">
        <f t="shared" si="59"/>
        <v>-0.25079463626642395</v>
      </c>
      <c r="I152" s="363">
        <f t="shared" si="60"/>
        <v>35717.953537169902</v>
      </c>
      <c r="J152" s="366">
        <f t="shared" si="61"/>
        <v>1.5707683296701709</v>
      </c>
      <c r="K152" s="374">
        <f t="shared" si="79"/>
        <v>11.09643760897622</v>
      </c>
      <c r="L152" s="375">
        <f t="shared" si="80"/>
        <v>1.4805548836489144</v>
      </c>
      <c r="M152" s="363">
        <f t="shared" si="64"/>
        <v>1.05730237597131</v>
      </c>
      <c r="N152" s="366">
        <f t="shared" si="65"/>
        <v>0.33073712029432523</v>
      </c>
      <c r="O152" s="367">
        <f t="shared" si="66"/>
        <v>1.0096599389292986</v>
      </c>
      <c r="P152" s="368">
        <f t="shared" si="67"/>
        <v>0.16912232045439726</v>
      </c>
      <c r="Q152" s="369">
        <f t="shared" si="68"/>
        <v>-2.1619953081112913</v>
      </c>
      <c r="R152" s="370">
        <f t="shared" si="69"/>
        <v>-129.75907789407586</v>
      </c>
      <c r="S152" s="372">
        <f t="shared" si="70"/>
        <v>50.240922105924142</v>
      </c>
      <c r="U152" s="345">
        <f t="shared" si="76"/>
        <v>8610.5</v>
      </c>
      <c r="V152" s="345">
        <f t="shared" si="77"/>
        <v>74140710.25</v>
      </c>
      <c r="X152" s="371">
        <f t="shared" si="71"/>
        <v>17.458630321932517</v>
      </c>
      <c r="Y152" s="372">
        <f t="shared" si="72"/>
        <v>-24.118690861084328</v>
      </c>
      <c r="AA152" s="371">
        <f t="shared" si="73"/>
        <v>37.880599637790198</v>
      </c>
      <c r="AB152" s="372">
        <f t="shared" si="74"/>
        <v>-105.64038703299155</v>
      </c>
      <c r="AD152">
        <f t="shared" si="78"/>
        <v>0</v>
      </c>
      <c r="AE152">
        <f t="shared" si="53"/>
        <v>0</v>
      </c>
    </row>
    <row r="153" spans="1:31" x14ac:dyDescent="0.2">
      <c r="A153" s="376">
        <v>8660.0499999999993</v>
      </c>
      <c r="B153" s="390">
        <f t="shared" si="75"/>
        <v>8.66005</v>
      </c>
      <c r="C153" s="363">
        <f t="shared" si="54"/>
        <v>12.262165198887459</v>
      </c>
      <c r="D153" s="364">
        <f t="shared" si="55"/>
        <v>1.4891539936491887</v>
      </c>
      <c r="E153" s="364">
        <f t="shared" si="56"/>
        <v>1.0021294667794083</v>
      </c>
      <c r="F153" s="365">
        <f t="shared" si="57"/>
        <v>6.5202680560397727E-2</v>
      </c>
      <c r="G153" s="364">
        <f t="shared" si="58"/>
        <v>1.032661667604392</v>
      </c>
      <c r="H153" s="365">
        <f t="shared" si="59"/>
        <v>-0.25217760806782902</v>
      </c>
      <c r="I153" s="363">
        <f t="shared" si="60"/>
        <v>35923.496141708951</v>
      </c>
      <c r="J153" s="366">
        <f t="shared" si="61"/>
        <v>1.5707684898606467</v>
      </c>
      <c r="K153" s="374">
        <f t="shared" si="79"/>
        <v>11.159776062964903</v>
      </c>
      <c r="L153" s="375">
        <f t="shared" si="80"/>
        <v>1.4810684411525317</v>
      </c>
      <c r="M153" s="363">
        <f t="shared" si="64"/>
        <v>1.0579456596639829</v>
      </c>
      <c r="N153" s="366">
        <f t="shared" si="65"/>
        <v>0.33250351731283695</v>
      </c>
      <c r="O153" s="367">
        <f t="shared" si="66"/>
        <v>1.0097710277180882</v>
      </c>
      <c r="P153" s="368">
        <f t="shared" si="67"/>
        <v>0.17008612451399321</v>
      </c>
      <c r="Q153" s="369">
        <f t="shared" si="68"/>
        <v>-2.2148470042993629</v>
      </c>
      <c r="R153" s="370">
        <f t="shared" si="69"/>
        <v>-129.97081276736552</v>
      </c>
      <c r="S153" s="372">
        <f t="shared" si="70"/>
        <v>50.029187232634484</v>
      </c>
      <c r="U153" s="345">
        <f t="shared" si="76"/>
        <v>8660.0499999999993</v>
      </c>
      <c r="V153" s="345">
        <f t="shared" si="77"/>
        <v>74996466.002499983</v>
      </c>
      <c r="X153" s="371">
        <f t="shared" si="71"/>
        <v>17.452944779931638</v>
      </c>
      <c r="Y153" s="372">
        <f t="shared" si="72"/>
        <v>-24.190482456015214</v>
      </c>
      <c r="AA153" s="371">
        <f t="shared" si="73"/>
        <v>37.833433483603002</v>
      </c>
      <c r="AB153" s="372">
        <f t="shared" si="74"/>
        <v>-105.78033031135031</v>
      </c>
      <c r="AD153">
        <f t="shared" si="78"/>
        <v>0</v>
      </c>
      <c r="AE153">
        <f t="shared" si="53"/>
        <v>0</v>
      </c>
    </row>
    <row r="154" spans="1:31" x14ac:dyDescent="0.2">
      <c r="A154" s="376">
        <v>8709.6</v>
      </c>
      <c r="B154" s="390">
        <f t="shared" si="75"/>
        <v>8.7096</v>
      </c>
      <c r="C154" s="363">
        <f t="shared" si="54"/>
        <v>12.331860041191122</v>
      </c>
      <c r="D154" s="364">
        <f t="shared" si="55"/>
        <v>1.489616423316263</v>
      </c>
      <c r="E154" s="364">
        <f t="shared" si="56"/>
        <v>1.0021538784688537</v>
      </c>
      <c r="F154" s="365">
        <f t="shared" si="57"/>
        <v>6.5574683643081944E-2</v>
      </c>
      <c r="G154" s="364">
        <f t="shared" si="58"/>
        <v>1.0330305023070872</v>
      </c>
      <c r="H154" s="365">
        <f t="shared" si="59"/>
        <v>-0.25355959495436936</v>
      </c>
      <c r="I154" s="363">
        <f t="shared" si="60"/>
        <v>36129.038746248916</v>
      </c>
      <c r="J154" s="366">
        <f t="shared" si="61"/>
        <v>1.5707686482284351</v>
      </c>
      <c r="K154" s="374">
        <f t="shared" si="79"/>
        <v>11.22311742702572</v>
      </c>
      <c r="L154" s="375">
        <f t="shared" si="80"/>
        <v>1.4815762019265717</v>
      </c>
      <c r="M154" s="363">
        <f t="shared" si="64"/>
        <v>1.0585922402968753</v>
      </c>
      <c r="N154" s="366">
        <f t="shared" si="65"/>
        <v>0.33426776202493874</v>
      </c>
      <c r="O154" s="367">
        <f t="shared" si="66"/>
        <v>1.0098827446150391</v>
      </c>
      <c r="P154" s="368">
        <f t="shared" si="67"/>
        <v>0.1710497686083409</v>
      </c>
      <c r="Q154" s="369">
        <f t="shared" si="68"/>
        <v>-2.2674256180146868</v>
      </c>
      <c r="R154" s="370">
        <f t="shared" si="69"/>
        <v>-130.18238888523143</v>
      </c>
      <c r="S154" s="372">
        <f t="shared" si="70"/>
        <v>49.817611114768567</v>
      </c>
      <c r="U154" s="345">
        <f t="shared" si="76"/>
        <v>8709.6</v>
      </c>
      <c r="V154" s="345">
        <f t="shared" si="77"/>
        <v>75857132.160000011</v>
      </c>
      <c r="X154" s="371">
        <f t="shared" si="71"/>
        <v>17.447242210837338</v>
      </c>
      <c r="Y154" s="372">
        <f t="shared" si="72"/>
        <v>-24.262482756580294</v>
      </c>
      <c r="AA154" s="371">
        <f t="shared" si="73"/>
        <v>37.78655743898198</v>
      </c>
      <c r="AB154" s="372">
        <f t="shared" si="74"/>
        <v>-105.91990612865115</v>
      </c>
      <c r="AD154">
        <f t="shared" si="78"/>
        <v>0</v>
      </c>
      <c r="AE154">
        <f t="shared" ref="AE154:AE217" si="81">IF(AD154&gt;0,S154,0)</f>
        <v>0</v>
      </c>
    </row>
    <row r="155" spans="1:31" x14ac:dyDescent="0.2">
      <c r="A155" s="376">
        <v>8760.3250000000007</v>
      </c>
      <c r="B155" s="390">
        <f t="shared" si="75"/>
        <v>8.7603249999999999</v>
      </c>
      <c r="C155" s="363">
        <f t="shared" si="54"/>
        <v>12.403210287156138</v>
      </c>
      <c r="D155" s="364">
        <f t="shared" si="55"/>
        <v>1.4900844354809244</v>
      </c>
      <c r="E155" s="364">
        <f t="shared" si="56"/>
        <v>1.0021790126922443</v>
      </c>
      <c r="F155" s="365">
        <f t="shared" si="57"/>
        <v>6.5955489364545525E-2</v>
      </c>
      <c r="G155" s="364">
        <f t="shared" si="58"/>
        <v>1.0334101255697232</v>
      </c>
      <c r="H155" s="365">
        <f t="shared" si="59"/>
        <v>-0.25497332884490126</v>
      </c>
      <c r="I155" s="363">
        <f t="shared" si="60"/>
        <v>36339.455469060929</v>
      </c>
      <c r="J155" s="366">
        <f t="shared" si="61"/>
        <v>1.5707688084959233</v>
      </c>
      <c r="K155" s="374">
        <f t="shared" si="79"/>
        <v>11.287963794761479</v>
      </c>
      <c r="L155" s="375">
        <f t="shared" si="80"/>
        <v>1.4820901005056268</v>
      </c>
      <c r="M155" s="363">
        <f t="shared" si="64"/>
        <v>1.0592575624046583</v>
      </c>
      <c r="N155" s="366">
        <f t="shared" si="65"/>
        <v>0.33607160620455739</v>
      </c>
      <c r="O155" s="367">
        <f t="shared" si="66"/>
        <v>1.0099977611644995</v>
      </c>
      <c r="P155" s="368">
        <f t="shared" si="67"/>
        <v>0.17203609741311582</v>
      </c>
      <c r="Q155" s="369">
        <f t="shared" si="68"/>
        <v>-2.3209715067765253</v>
      </c>
      <c r="R155" s="370">
        <f t="shared" si="69"/>
        <v>-130.39881653099258</v>
      </c>
      <c r="S155" s="372">
        <f t="shared" si="70"/>
        <v>49.601183469007424</v>
      </c>
      <c r="U155" s="345">
        <f t="shared" si="76"/>
        <v>8760.3250000000007</v>
      </c>
      <c r="V155" s="345">
        <f t="shared" si="77"/>
        <v>76743294.105625018</v>
      </c>
      <c r="X155" s="371">
        <f t="shared" si="71"/>
        <v>17.441386716698506</v>
      </c>
      <c r="Y155" s="372">
        <f t="shared" si="72"/>
        <v>-24.336400378029179</v>
      </c>
      <c r="AA155" s="371">
        <f t="shared" si="73"/>
        <v>37.738867044358969</v>
      </c>
      <c r="AB155" s="372">
        <f t="shared" si="74"/>
        <v>-106.06241615296344</v>
      </c>
      <c r="AD155">
        <f t="shared" si="78"/>
        <v>0</v>
      </c>
      <c r="AE155">
        <f t="shared" si="81"/>
        <v>0</v>
      </c>
    </row>
    <row r="156" spans="1:31" x14ac:dyDescent="0.2">
      <c r="A156" s="376">
        <v>8811.0499999999993</v>
      </c>
      <c r="B156" s="390">
        <f t="shared" si="75"/>
        <v>8.8110499999999998</v>
      </c>
      <c r="C156" s="363">
        <f t="shared" si="54"/>
        <v>12.474563218785086</v>
      </c>
      <c r="D156" s="364">
        <f t="shared" si="55"/>
        <v>1.4905470938045997</v>
      </c>
      <c r="E156" s="364">
        <f t="shared" si="56"/>
        <v>1.0022042922373156</v>
      </c>
      <c r="F156" s="365">
        <f t="shared" si="57"/>
        <v>6.6336275930381272E-2</v>
      </c>
      <c r="G156" s="364">
        <f t="shared" si="58"/>
        <v>1.0337918127314933</v>
      </c>
      <c r="H156" s="365">
        <f t="shared" si="59"/>
        <v>-0.256386021625365</v>
      </c>
      <c r="I156" s="363">
        <f t="shared" si="60"/>
        <v>36549.872191873867</v>
      </c>
      <c r="J156" s="366">
        <f t="shared" si="61"/>
        <v>1.5707689669180993</v>
      </c>
      <c r="K156" s="374">
        <f t="shared" si="79"/>
        <v>11.352813109499751</v>
      </c>
      <c r="L156" s="375">
        <f t="shared" si="80"/>
        <v>1.4825981282549541</v>
      </c>
      <c r="M156" s="363">
        <f t="shared" si="64"/>
        <v>1.0599263268481847</v>
      </c>
      <c r="N156" s="366">
        <f t="shared" si="65"/>
        <v>0.33787317995574623</v>
      </c>
      <c r="O156" s="367">
        <f t="shared" si="66"/>
        <v>1.0101134356306372</v>
      </c>
      <c r="P156" s="368">
        <f t="shared" si="67"/>
        <v>0.17302225677484909</v>
      </c>
      <c r="Q156" s="369">
        <f t="shared" si="68"/>
        <v>-2.3742379110555034</v>
      </c>
      <c r="R156" s="370">
        <f t="shared" si="69"/>
        <v>-130.61507534428381</v>
      </c>
      <c r="S156" s="372">
        <f t="shared" si="70"/>
        <v>49.384924655716191</v>
      </c>
      <c r="U156" s="345">
        <f t="shared" si="76"/>
        <v>8811.0499999999993</v>
      </c>
      <c r="V156" s="345">
        <f t="shared" si="77"/>
        <v>77634602.102499992</v>
      </c>
      <c r="X156" s="371">
        <f t="shared" si="71"/>
        <v>17.435513261024159</v>
      </c>
      <c r="Y156" s="372">
        <f t="shared" si="72"/>
        <v>-24.410524181548631</v>
      </c>
      <c r="AA156" s="371">
        <f t="shared" si="73"/>
        <v>37.691474095754337</v>
      </c>
      <c r="AB156" s="372">
        <f t="shared" si="74"/>
        <v>-106.20455116273519</v>
      </c>
      <c r="AD156">
        <f t="shared" si="78"/>
        <v>0</v>
      </c>
      <c r="AE156">
        <f t="shared" si="81"/>
        <v>0</v>
      </c>
    </row>
    <row r="157" spans="1:31" x14ac:dyDescent="0.2">
      <c r="A157" s="376">
        <v>8861.7749999999996</v>
      </c>
      <c r="B157" s="390">
        <f t="shared" si="75"/>
        <v>8.8617749999999997</v>
      </c>
      <c r="C157" s="363">
        <f t="shared" si="54"/>
        <v>12.545918790255108</v>
      </c>
      <c r="D157" s="364">
        <f t="shared" si="55"/>
        <v>1.4910044894382679</v>
      </c>
      <c r="E157" s="364">
        <f t="shared" si="56"/>
        <v>1.0022297170930716</v>
      </c>
      <c r="F157" s="365">
        <f t="shared" si="57"/>
        <v>6.6717043231616077E-2</v>
      </c>
      <c r="G157" s="364">
        <f t="shared" si="58"/>
        <v>1.0341755615072039</v>
      </c>
      <c r="H157" s="365">
        <f t="shared" si="59"/>
        <v>-0.25779766881300931</v>
      </c>
      <c r="I157" s="363">
        <f t="shared" si="60"/>
        <v>36760.288914687706</v>
      </c>
      <c r="J157" s="366">
        <f t="shared" si="61"/>
        <v>1.5707691235266512</v>
      </c>
      <c r="K157" s="374">
        <f t="shared" si="79"/>
        <v>11.417665321025959</v>
      </c>
      <c r="L157" s="375">
        <f t="shared" si="80"/>
        <v>1.4831003849487989</v>
      </c>
      <c r="M157" s="363">
        <f t="shared" si="64"/>
        <v>1.0605985271157203</v>
      </c>
      <c r="N157" s="366">
        <f t="shared" si="65"/>
        <v>0.33967247588986144</v>
      </c>
      <c r="O157" s="367">
        <f t="shared" si="66"/>
        <v>1.010229767843243</v>
      </c>
      <c r="P157" s="368">
        <f t="shared" si="67"/>
        <v>0.17400824578415733</v>
      </c>
      <c r="Q157" s="369">
        <f t="shared" si="68"/>
        <v>-2.4272281326463592</v>
      </c>
      <c r="R157" s="370">
        <f t="shared" si="69"/>
        <v>-130.8311641068029</v>
      </c>
      <c r="S157" s="372">
        <f t="shared" si="70"/>
        <v>49.168835893197098</v>
      </c>
      <c r="U157" s="345">
        <f t="shared" si="76"/>
        <v>8861.7749999999996</v>
      </c>
      <c r="V157" s="345">
        <f t="shared" si="77"/>
        <v>78531056.15062499</v>
      </c>
      <c r="X157" s="371">
        <f t="shared" si="71"/>
        <v>17.42962179147678</v>
      </c>
      <c r="Y157" s="372">
        <f t="shared" si="72"/>
        <v>-24.484848028972969</v>
      </c>
      <c r="AA157" s="371">
        <f t="shared" si="73"/>
        <v>37.644375343710863</v>
      </c>
      <c r="AB157" s="372">
        <f t="shared" si="74"/>
        <v>-106.34631607782993</v>
      </c>
      <c r="AD157">
        <f t="shared" si="78"/>
        <v>0</v>
      </c>
      <c r="AE157">
        <f t="shared" si="81"/>
        <v>0</v>
      </c>
    </row>
    <row r="158" spans="1:31" x14ac:dyDescent="0.2">
      <c r="A158" s="373">
        <v>8912.5</v>
      </c>
      <c r="B158" s="390">
        <f t="shared" si="75"/>
        <v>8.9124999999999996</v>
      </c>
      <c r="C158" s="363">
        <f t="shared" si="54"/>
        <v>12.617276956778237</v>
      </c>
      <c r="D158" s="364">
        <f t="shared" si="55"/>
        <v>1.4914567114797797</v>
      </c>
      <c r="E158" s="364">
        <f t="shared" si="56"/>
        <v>1.0022552872484534</v>
      </c>
      <c r="F158" s="365">
        <f t="shared" si="57"/>
        <v>6.7097791159310055E-2</v>
      </c>
      <c r="G158" s="364">
        <f t="shared" si="58"/>
        <v>1.0345613696027181</v>
      </c>
      <c r="H158" s="365">
        <f t="shared" si="59"/>
        <v>-0.25920826594838436</v>
      </c>
      <c r="I158" s="363">
        <f t="shared" si="60"/>
        <v>36970.705637502455</v>
      </c>
      <c r="J158" s="366">
        <f t="shared" si="61"/>
        <v>1.5707692783525453</v>
      </c>
      <c r="K158" s="374">
        <f t="shared" ref="K158:K214" si="82">SQRT(1+(A158/Zero2)^2)</f>
        <v>11.482520380257736</v>
      </c>
      <c r="L158" s="375">
        <f t="shared" ref="L158:L214" si="83">ATAN(A158/Zero2)</f>
        <v>1.483596968119044</v>
      </c>
      <c r="M158" s="363">
        <f t="shared" si="64"/>
        <v>1.0612741566786175</v>
      </c>
      <c r="N158" s="366">
        <f t="shared" si="65"/>
        <v>0.34146948669592497</v>
      </c>
      <c r="O158" s="367">
        <f t="shared" si="66"/>
        <v>1.0103467576312228</v>
      </c>
      <c r="P158" s="368">
        <f t="shared" si="67"/>
        <v>0.17499406353285327</v>
      </c>
      <c r="Q158" s="369">
        <f t="shared" si="68"/>
        <v>-2.4799454153118985</v>
      </c>
      <c r="R158" s="370">
        <f t="shared" si="69"/>
        <v>-131.04708161690027</v>
      </c>
      <c r="S158" s="372">
        <f t="shared" si="70"/>
        <v>48.952918383099728</v>
      </c>
      <c r="U158" s="345">
        <f t="shared" si="76"/>
        <v>8912.5</v>
      </c>
      <c r="V158" s="345">
        <f t="shared" si="77"/>
        <v>79432656.25</v>
      </c>
      <c r="X158" s="371">
        <f t="shared" si="71"/>
        <v>17.423712260226228</v>
      </c>
      <c r="Y158" s="372">
        <f t="shared" si="72"/>
        <v>-24.55936591502298</v>
      </c>
      <c r="AA158" s="371">
        <f t="shared" si="73"/>
        <v>37.597567592295874</v>
      </c>
      <c r="AB158" s="372">
        <f t="shared" si="74"/>
        <v>-106.48771570187728</v>
      </c>
      <c r="AD158">
        <f t="shared" si="78"/>
        <v>0</v>
      </c>
      <c r="AE158">
        <f t="shared" si="81"/>
        <v>0</v>
      </c>
    </row>
    <row r="159" spans="1:31" x14ac:dyDescent="0.2">
      <c r="A159" s="373">
        <v>8964.4</v>
      </c>
      <c r="B159" s="390">
        <f t="shared" si="75"/>
        <v>8.9643999999999995</v>
      </c>
      <c r="C159" s="363">
        <f t="shared" si="54"/>
        <v>12.690290712710468</v>
      </c>
      <c r="D159" s="364">
        <f t="shared" si="55"/>
        <v>1.4919141449405382</v>
      </c>
      <c r="E159" s="364">
        <f t="shared" si="56"/>
        <v>1.0022816000896053</v>
      </c>
      <c r="F159" s="365">
        <f t="shared" si="57"/>
        <v>6.7487338612303716E-2</v>
      </c>
      <c r="G159" s="364">
        <f t="shared" si="58"/>
        <v>1.0349582436270293</v>
      </c>
      <c r="H159" s="365">
        <f t="shared" si="59"/>
        <v>-0.26065044687940331</v>
      </c>
      <c r="I159" s="363">
        <f t="shared" si="60"/>
        <v>37185.996478589303</v>
      </c>
      <c r="J159" s="366">
        <f t="shared" si="61"/>
        <v>1.5707694349513313</v>
      </c>
      <c r="K159" s="374">
        <f t="shared" si="82"/>
        <v>11.5488806472584</v>
      </c>
      <c r="L159" s="375">
        <f t="shared" si="83"/>
        <v>1.4840992814624043</v>
      </c>
      <c r="M159" s="363">
        <f t="shared" si="64"/>
        <v>1.0619689791493889</v>
      </c>
      <c r="N159" s="366">
        <f t="shared" si="65"/>
        <v>0.34330575099180749</v>
      </c>
      <c r="O159" s="367">
        <f t="shared" si="66"/>
        <v>1.0104671378053685</v>
      </c>
      <c r="P159" s="368">
        <f t="shared" si="67"/>
        <v>0.1760025386792346</v>
      </c>
      <c r="Q159" s="369">
        <f t="shared" si="68"/>
        <v>-2.5336046755020587</v>
      </c>
      <c r="R159" s="370">
        <f t="shared" si="69"/>
        <v>-131.26782218126502</v>
      </c>
      <c r="S159" s="372">
        <f t="shared" si="70"/>
        <v>48.732177818734982</v>
      </c>
      <c r="U159" s="345">
        <f t="shared" si="76"/>
        <v>8964.4</v>
      </c>
      <c r="V159" s="345">
        <f t="shared" si="77"/>
        <v>80360467.359999999</v>
      </c>
      <c r="X159" s="371">
        <f t="shared" si="71"/>
        <v>17.41764710044081</v>
      </c>
      <c r="Y159" s="372">
        <f t="shared" si="72"/>
        <v>-24.635804647216808</v>
      </c>
      <c r="AA159" s="371">
        <f t="shared" si="73"/>
        <v>37.54997349189113</v>
      </c>
      <c r="AB159" s="372">
        <f t="shared" si="74"/>
        <v>-106.6320175340482</v>
      </c>
      <c r="AD159">
        <f t="shared" si="78"/>
        <v>0</v>
      </c>
      <c r="AE159">
        <f t="shared" si="81"/>
        <v>0</v>
      </c>
    </row>
    <row r="160" spans="1:31" x14ac:dyDescent="0.2">
      <c r="A160" s="373">
        <v>9016.2999999999993</v>
      </c>
      <c r="B160" s="390">
        <f t="shared" si="75"/>
        <v>9.0162999999999993</v>
      </c>
      <c r="C160" s="363">
        <f t="shared" si="54"/>
        <v>12.763307093646185</v>
      </c>
      <c r="D160" s="364">
        <f t="shared" si="55"/>
        <v>1.4923663447204822</v>
      </c>
      <c r="E160" s="364">
        <f t="shared" si="56"/>
        <v>1.0023080650162028</v>
      </c>
      <c r="F160" s="365">
        <f t="shared" si="57"/>
        <v>6.787686555319461E-2</v>
      </c>
      <c r="G160" s="364">
        <f t="shared" si="58"/>
        <v>1.0353572685934544</v>
      </c>
      <c r="H160" s="365">
        <f t="shared" si="59"/>
        <v>-0.26209151917751167</v>
      </c>
      <c r="I160" s="363">
        <f t="shared" si="60"/>
        <v>37401.287319677067</v>
      </c>
      <c r="J160" s="366">
        <f t="shared" si="61"/>
        <v>1.5707695897472764</v>
      </c>
      <c r="K160" s="374">
        <f t="shared" si="82"/>
        <v>11.615243794960588</v>
      </c>
      <c r="L160" s="375">
        <f t="shared" si="83"/>
        <v>1.4845958550426679</v>
      </c>
      <c r="M160" s="363">
        <f t="shared" si="64"/>
        <v>1.0626673777481979</v>
      </c>
      <c r="N160" s="366">
        <f t="shared" si="65"/>
        <v>0.34513960783166969</v>
      </c>
      <c r="O160" s="367">
        <f t="shared" si="66"/>
        <v>1.0105882060068356</v>
      </c>
      <c r="P160" s="368">
        <f t="shared" si="67"/>
        <v>0.17701083261924214</v>
      </c>
      <c r="Q160" s="369">
        <f t="shared" si="68"/>
        <v>-2.5869848954071752</v>
      </c>
      <c r="R160" s="370">
        <f t="shared" si="69"/>
        <v>-131.48838097455362</v>
      </c>
      <c r="S160" s="372">
        <f t="shared" si="70"/>
        <v>48.511619025446379</v>
      </c>
      <c r="U160" s="345">
        <f t="shared" si="76"/>
        <v>9016.2999999999993</v>
      </c>
      <c r="V160" s="345">
        <f t="shared" si="77"/>
        <v>81293665.689999983</v>
      </c>
      <c r="X160" s="371">
        <f t="shared" si="71"/>
        <v>17.411562944993733</v>
      </c>
      <c r="Y160" s="372">
        <f t="shared" si="72"/>
        <v>-24.712434203247224</v>
      </c>
      <c r="AA160" s="371">
        <f t="shared" si="73"/>
        <v>37.502677427433099</v>
      </c>
      <c r="AB160" s="372">
        <f t="shared" si="74"/>
        <v>-106.77594677130639</v>
      </c>
      <c r="AD160">
        <f t="shared" si="78"/>
        <v>0</v>
      </c>
      <c r="AE160">
        <f t="shared" si="81"/>
        <v>0</v>
      </c>
    </row>
    <row r="161" spans="1:31" x14ac:dyDescent="0.2">
      <c r="A161" s="373">
        <v>9068.2000000000007</v>
      </c>
      <c r="B161" s="390">
        <f t="shared" si="75"/>
        <v>9.0682000000000009</v>
      </c>
      <c r="C161" s="363">
        <f t="shared" si="54"/>
        <v>12.836326054790275</v>
      </c>
      <c r="D161" s="364">
        <f t="shared" si="55"/>
        <v>1.4928133999478734</v>
      </c>
      <c r="E161" s="364">
        <f t="shared" si="56"/>
        <v>1.0023346820161994</v>
      </c>
      <c r="F161" s="365">
        <f t="shared" si="57"/>
        <v>6.8266371865405392E-2</v>
      </c>
      <c r="G161" s="364">
        <f t="shared" si="58"/>
        <v>1.0357584420160484</v>
      </c>
      <c r="H161" s="365">
        <f t="shared" si="59"/>
        <v>-0.26353147814216116</v>
      </c>
      <c r="I161" s="363">
        <f t="shared" si="60"/>
        <v>37616.578160765719</v>
      </c>
      <c r="J161" s="366">
        <f t="shared" si="61"/>
        <v>1.5707697427713354</v>
      </c>
      <c r="K161" s="374">
        <f t="shared" si="82"/>
        <v>11.681609774268567</v>
      </c>
      <c r="L161" s="375">
        <f t="shared" si="83"/>
        <v>1.4850867864396706</v>
      </c>
      <c r="M161" s="363">
        <f t="shared" si="64"/>
        <v>1.0633693454288675</v>
      </c>
      <c r="N161" s="366">
        <f t="shared" si="65"/>
        <v>0.34697104963656406</v>
      </c>
      <c r="O161" s="367">
        <f t="shared" si="66"/>
        <v>1.0107099620494997</v>
      </c>
      <c r="P161" s="368">
        <f t="shared" si="67"/>
        <v>0.17801894438402746</v>
      </c>
      <c r="Q161" s="369">
        <f t="shared" si="68"/>
        <v>-2.6400893693836207</v>
      </c>
      <c r="R161" s="370">
        <f t="shared" si="69"/>
        <v>-131.70875676190528</v>
      </c>
      <c r="S161" s="372">
        <f t="shared" si="70"/>
        <v>48.291243238094722</v>
      </c>
      <c r="U161" s="345">
        <f t="shared" si="76"/>
        <v>9068.2000000000007</v>
      </c>
      <c r="V161" s="345">
        <f t="shared" si="77"/>
        <v>82232251.24000001</v>
      </c>
      <c r="X161" s="371">
        <f t="shared" si="71"/>
        <v>17.405459756336182</v>
      </c>
      <c r="Y161" s="372">
        <f t="shared" si="72"/>
        <v>-24.789248559733291</v>
      </c>
      <c r="AA161" s="371">
        <f t="shared" si="73"/>
        <v>37.4556761421142</v>
      </c>
      <c r="AB161" s="372">
        <f t="shared" si="74"/>
        <v>-106.91950820217195</v>
      </c>
      <c r="AD161">
        <f t="shared" si="78"/>
        <v>0</v>
      </c>
      <c r="AE161">
        <f t="shared" si="81"/>
        <v>0</v>
      </c>
    </row>
    <row r="162" spans="1:31" x14ac:dyDescent="0.2">
      <c r="A162" s="373">
        <v>9120.1</v>
      </c>
      <c r="B162" s="390">
        <f t="shared" si="75"/>
        <v>9.1201000000000008</v>
      </c>
      <c r="C162" s="363">
        <f t="shared" si="54"/>
        <v>12.909347552359542</v>
      </c>
      <c r="D162" s="364">
        <f t="shared" si="55"/>
        <v>1.4932553977426957</v>
      </c>
      <c r="E162" s="364">
        <f t="shared" si="56"/>
        <v>1.0023614510774799</v>
      </c>
      <c r="F162" s="365">
        <f t="shared" si="57"/>
        <v>6.8655857432396092E-2</v>
      </c>
      <c r="G162" s="364">
        <f t="shared" si="58"/>
        <v>1.036161761399341</v>
      </c>
      <c r="H162" s="365">
        <f t="shared" si="59"/>
        <v>-0.26497031909853175</v>
      </c>
      <c r="I162" s="363">
        <f t="shared" si="60"/>
        <v>37831.86900185523</v>
      </c>
      <c r="J162" s="366">
        <f t="shared" si="61"/>
        <v>1.570769894053758</v>
      </c>
      <c r="K162" s="374">
        <f t="shared" si="82"/>
        <v>11.747978537193914</v>
      </c>
      <c r="L162" s="375">
        <f t="shared" si="83"/>
        <v>1.4855721710392071</v>
      </c>
      <c r="M162" s="363">
        <f t="shared" si="64"/>
        <v>1.064074875127853</v>
      </c>
      <c r="N162" s="366">
        <f t="shared" si="65"/>
        <v>0.34880006891229426</v>
      </c>
      <c r="O162" s="367">
        <f t="shared" si="66"/>
        <v>1.0108324057462734</v>
      </c>
      <c r="P162" s="368">
        <f t="shared" si="67"/>
        <v>0.17902687300607736</v>
      </c>
      <c r="Q162" s="369">
        <f t="shared" si="68"/>
        <v>-2.6929213338300788</v>
      </c>
      <c r="R162" s="370">
        <f t="shared" si="69"/>
        <v>-131.92894832546659</v>
      </c>
      <c r="S162" s="372">
        <f t="shared" si="70"/>
        <v>48.071051674533408</v>
      </c>
      <c r="U162" s="345">
        <f t="shared" si="76"/>
        <v>9120.1</v>
      </c>
      <c r="V162" s="345">
        <f t="shared" si="77"/>
        <v>83176224.010000005</v>
      </c>
      <c r="X162" s="371">
        <f t="shared" si="71"/>
        <v>17.399337501224984</v>
      </c>
      <c r="Y162" s="372">
        <f t="shared" si="72"/>
        <v>-24.866241823818921</v>
      </c>
      <c r="AA162" s="371">
        <f t="shared" si="73"/>
        <v>37.408966432778939</v>
      </c>
      <c r="AB162" s="372">
        <f t="shared" si="74"/>
        <v>-107.06270650164767</v>
      </c>
      <c r="AD162">
        <f t="shared" si="78"/>
        <v>0</v>
      </c>
      <c r="AE162">
        <f t="shared" si="81"/>
        <v>0</v>
      </c>
    </row>
    <row r="163" spans="1:31" x14ac:dyDescent="0.2">
      <c r="A163" s="373">
        <v>9173.2000000000007</v>
      </c>
      <c r="B163" s="390">
        <f t="shared" si="75"/>
        <v>9.1732000000000014</v>
      </c>
      <c r="C163" s="363">
        <f t="shared" si="54"/>
        <v>12.984059988694732</v>
      </c>
      <c r="D163" s="364">
        <f t="shared" si="55"/>
        <v>1.4937024697652483</v>
      </c>
      <c r="E163" s="364">
        <f t="shared" si="56"/>
        <v>1.0023889964396198</v>
      </c>
      <c r="F163" s="365">
        <f t="shared" si="57"/>
        <v>6.9054326854266629E-2</v>
      </c>
      <c r="G163" s="364">
        <f t="shared" si="58"/>
        <v>1.0365766244344818</v>
      </c>
      <c r="H163" s="365">
        <f t="shared" si="59"/>
        <v>-0.26644126612346208</v>
      </c>
      <c r="I163" s="363">
        <f t="shared" si="60"/>
        <v>38052.137665860995</v>
      </c>
      <c r="J163" s="366">
        <f t="shared" si="61"/>
        <v>1.5707700470623649</v>
      </c>
      <c r="K163" s="374">
        <f t="shared" si="82"/>
        <v>11.815884669973968</v>
      </c>
      <c r="L163" s="375">
        <f t="shared" si="83"/>
        <v>1.4860631349927689</v>
      </c>
      <c r="M163" s="363">
        <f t="shared" si="64"/>
        <v>1.0648003967762354</v>
      </c>
      <c r="N163" s="366">
        <f t="shared" si="65"/>
        <v>0.35066886272888753</v>
      </c>
      <c r="O163" s="367">
        <f t="shared" si="66"/>
        <v>1.0109583920022496</v>
      </c>
      <c r="P163" s="368">
        <f t="shared" si="67"/>
        <v>0.18005791578505378</v>
      </c>
      <c r="Q163" s="369">
        <f t="shared" si="68"/>
        <v>-2.7466961289451062</v>
      </c>
      <c r="R163" s="370">
        <f t="shared" si="69"/>
        <v>-132.15403910855105</v>
      </c>
      <c r="S163" s="372">
        <f t="shared" si="70"/>
        <v>47.845960891448954</v>
      </c>
      <c r="U163" s="345">
        <f t="shared" si="76"/>
        <v>9173.2000000000007</v>
      </c>
      <c r="V163" s="345">
        <f t="shared" si="77"/>
        <v>84147598.24000001</v>
      </c>
      <c r="X163" s="371">
        <f t="shared" si="71"/>
        <v>17.393053927960846</v>
      </c>
      <c r="Y163" s="372">
        <f t="shared" si="72"/>
        <v>-24.94519442669533</v>
      </c>
      <c r="AA163" s="371">
        <f t="shared" si="73"/>
        <v>37.361475210928049</v>
      </c>
      <c r="AB163" s="372">
        <f t="shared" si="74"/>
        <v>-107.20884468185571</v>
      </c>
      <c r="AD163">
        <f t="shared" si="78"/>
        <v>0</v>
      </c>
      <c r="AE163">
        <f t="shared" si="81"/>
        <v>0</v>
      </c>
    </row>
    <row r="164" spans="1:31" x14ac:dyDescent="0.2">
      <c r="A164" s="373">
        <v>9226.2999999999993</v>
      </c>
      <c r="B164" s="390">
        <f t="shared" si="75"/>
        <v>9.2262999999999984</v>
      </c>
      <c r="C164" s="363">
        <f t="shared" si="54"/>
        <v>13.058774990502569</v>
      </c>
      <c r="D164" s="364">
        <f t="shared" si="55"/>
        <v>1.4941444260835013</v>
      </c>
      <c r="E164" s="364">
        <f t="shared" si="56"/>
        <v>1.0024167009501976</v>
      </c>
      <c r="F164" s="365">
        <f t="shared" si="57"/>
        <v>6.9452774313827487E-2</v>
      </c>
      <c r="G164" s="364">
        <f t="shared" si="58"/>
        <v>1.0369937284976984</v>
      </c>
      <c r="H164" s="365">
        <f t="shared" si="59"/>
        <v>-0.26791103302514174</v>
      </c>
      <c r="I164" s="363">
        <f t="shared" si="60"/>
        <v>38272.406329867648</v>
      </c>
      <c r="J164" s="366">
        <f t="shared" si="61"/>
        <v>1.5707701983097553</v>
      </c>
      <c r="K164" s="374">
        <f t="shared" si="82"/>
        <v>11.883793618370795</v>
      </c>
      <c r="L164" s="375">
        <f t="shared" si="83"/>
        <v>1.4865484879170063</v>
      </c>
      <c r="M164" s="363">
        <f t="shared" si="64"/>
        <v>1.0655296320515144</v>
      </c>
      <c r="N164" s="366">
        <f t="shared" si="65"/>
        <v>0.35253510509705527</v>
      </c>
      <c r="O164" s="367">
        <f t="shared" si="66"/>
        <v>1.0110850976797077</v>
      </c>
      <c r="P164" s="368">
        <f t="shared" si="67"/>
        <v>0.18108876480970679</v>
      </c>
      <c r="Q164" s="369">
        <f t="shared" si="68"/>
        <v>-2.8001923410622567</v>
      </c>
      <c r="R164" s="370">
        <f t="shared" si="69"/>
        <v>-132.37893452449308</v>
      </c>
      <c r="S164" s="372">
        <f t="shared" si="70"/>
        <v>47.621065475506924</v>
      </c>
      <c r="U164" s="345">
        <f t="shared" si="76"/>
        <v>9226.2999999999993</v>
      </c>
      <c r="V164" s="345">
        <f t="shared" si="77"/>
        <v>85124611.689999983</v>
      </c>
      <c r="X164" s="371">
        <f t="shared" si="71"/>
        <v>17.38675033914344</v>
      </c>
      <c r="Y164" s="372">
        <f t="shared" si="72"/>
        <v>-25.02432222973426</v>
      </c>
      <c r="AA164" s="371">
        <f t="shared" si="73"/>
        <v>37.314282587628306</v>
      </c>
      <c r="AB164" s="372">
        <f t="shared" si="74"/>
        <v>-107.35461229475882</v>
      </c>
      <c r="AD164">
        <f t="shared" si="78"/>
        <v>0</v>
      </c>
      <c r="AE164">
        <f t="shared" si="81"/>
        <v>0</v>
      </c>
    </row>
    <row r="165" spans="1:31" x14ac:dyDescent="0.2">
      <c r="A165" s="373">
        <v>9279.4</v>
      </c>
      <c r="B165" s="390">
        <f t="shared" si="75"/>
        <v>9.279399999999999</v>
      </c>
      <c r="C165" s="363">
        <f t="shared" si="54"/>
        <v>13.133492513998979</v>
      </c>
      <c r="D165" s="364">
        <f t="shared" si="55"/>
        <v>1.494581353834306</v>
      </c>
      <c r="E165" s="364">
        <f t="shared" si="56"/>
        <v>1.0024445645960189</v>
      </c>
      <c r="F165" s="365">
        <f t="shared" si="57"/>
        <v>6.9851199686389545E-2</v>
      </c>
      <c r="G165" s="364">
        <f t="shared" si="58"/>
        <v>1.0374130708858962</v>
      </c>
      <c r="H165" s="365">
        <f t="shared" si="59"/>
        <v>-0.26937961488083739</v>
      </c>
      <c r="I165" s="363">
        <f t="shared" si="60"/>
        <v>38492.67499387516</v>
      </c>
      <c r="J165" s="366">
        <f t="shared" si="61"/>
        <v>1.5707703478261636</v>
      </c>
      <c r="K165" s="374">
        <f t="shared" si="82"/>
        <v>11.951705334389853</v>
      </c>
      <c r="L165" s="375">
        <f t="shared" si="83"/>
        <v>1.4870283252298824</v>
      </c>
      <c r="M165" s="363">
        <f t="shared" si="64"/>
        <v>1.0662625733342506</v>
      </c>
      <c r="N165" s="366">
        <f t="shared" si="65"/>
        <v>0.35439878826538618</v>
      </c>
      <c r="O165" s="367">
        <f t="shared" si="66"/>
        <v>1.0112125225751663</v>
      </c>
      <c r="P165" s="368">
        <f t="shared" si="67"/>
        <v>0.18211941904822918</v>
      </c>
      <c r="Q165" s="369">
        <f t="shared" si="68"/>
        <v>-2.8534132564737313</v>
      </c>
      <c r="R165" s="370">
        <f t="shared" si="69"/>
        <v>-132.60363332240323</v>
      </c>
      <c r="S165" s="372">
        <f t="shared" si="70"/>
        <v>47.396366677596774</v>
      </c>
      <c r="U165" s="345">
        <f t="shared" si="76"/>
        <v>9279.4</v>
      </c>
      <c r="V165" s="345">
        <f t="shared" si="77"/>
        <v>86107264.359999999</v>
      </c>
      <c r="X165" s="371">
        <f t="shared" si="71"/>
        <v>17.380426712232723</v>
      </c>
      <c r="Y165" s="372">
        <f t="shared" si="72"/>
        <v>-25.103619323498275</v>
      </c>
      <c r="AA165" s="371">
        <f t="shared" si="73"/>
        <v>37.267385299127547</v>
      </c>
      <c r="AB165" s="372">
        <f t="shared" si="74"/>
        <v>-107.50001399890495</v>
      </c>
      <c r="AD165">
        <f t="shared" si="78"/>
        <v>0</v>
      </c>
      <c r="AE165">
        <f t="shared" si="81"/>
        <v>0</v>
      </c>
    </row>
    <row r="166" spans="1:31" x14ac:dyDescent="0.2">
      <c r="A166" s="373">
        <v>9332.5</v>
      </c>
      <c r="B166" s="390">
        <f t="shared" si="75"/>
        <v>9.3324999999999996</v>
      </c>
      <c r="C166" s="363">
        <f t="shared" si="54"/>
        <v>13.208212516389146</v>
      </c>
      <c r="D166" s="364">
        <f t="shared" si="55"/>
        <v>1.4950133381905315</v>
      </c>
      <c r="E166" s="364">
        <f t="shared" si="56"/>
        <v>1.0024725873638138</v>
      </c>
      <c r="F166" s="365">
        <f t="shared" si="57"/>
        <v>7.0249602847305484E-2</v>
      </c>
      <c r="G166" s="364">
        <f t="shared" si="58"/>
        <v>1.0378346488858554</v>
      </c>
      <c r="H166" s="365">
        <f t="shared" si="59"/>
        <v>-0.27084700679619694</v>
      </c>
      <c r="I166" s="363">
        <f t="shared" si="60"/>
        <v>38712.943657883523</v>
      </c>
      <c r="J166" s="366">
        <f t="shared" si="61"/>
        <v>1.570770495641137</v>
      </c>
      <c r="K166" s="374">
        <f t="shared" si="82"/>
        <v>12.019619771119348</v>
      </c>
      <c r="L166" s="375">
        <f t="shared" si="83"/>
        <v>1.4875027402030909</v>
      </c>
      <c r="M166" s="363">
        <f t="shared" si="64"/>
        <v>1.066999212987271</v>
      </c>
      <c r="N166" s="366">
        <f t="shared" si="65"/>
        <v>0.35625990457482393</v>
      </c>
      <c r="O166" s="367">
        <f t="shared" si="66"/>
        <v>1.0113406664840989</v>
      </c>
      <c r="P166" s="368">
        <f t="shared" si="67"/>
        <v>0.18314987747030401</v>
      </c>
      <c r="Q166" s="369">
        <f t="shared" si="68"/>
        <v>-2.9063621035987497</v>
      </c>
      <c r="R166" s="370">
        <f t="shared" si="69"/>
        <v>-132.82813426879753</v>
      </c>
      <c r="S166" s="372">
        <f t="shared" si="70"/>
        <v>47.171865731202473</v>
      </c>
      <c r="U166" s="345">
        <f t="shared" si="76"/>
        <v>9332.5</v>
      </c>
      <c r="V166" s="345">
        <f t="shared" si="77"/>
        <v>87095556.25</v>
      </c>
      <c r="X166" s="371">
        <f t="shared" si="71"/>
        <v>17.374083028797148</v>
      </c>
      <c r="Y166" s="372">
        <f t="shared" si="72"/>
        <v>-25.18307992677428</v>
      </c>
      <c r="AA166" s="371">
        <f t="shared" si="73"/>
        <v>37.220780135438105</v>
      </c>
      <c r="AB166" s="372">
        <f t="shared" si="74"/>
        <v>-107.64505434202324</v>
      </c>
      <c r="AD166">
        <f t="shared" si="78"/>
        <v>0</v>
      </c>
      <c r="AE166">
        <f t="shared" si="81"/>
        <v>0</v>
      </c>
    </row>
    <row r="167" spans="1:31" x14ac:dyDescent="0.2">
      <c r="A167" s="373">
        <v>9386.85</v>
      </c>
      <c r="B167" s="390">
        <f t="shared" si="75"/>
        <v>9.3868500000000008</v>
      </c>
      <c r="C167" s="363">
        <f t="shared" si="54"/>
        <v>13.284693987677596</v>
      </c>
      <c r="D167" s="364">
        <f t="shared" si="55"/>
        <v>1.4954504592429705</v>
      </c>
      <c r="E167" s="364">
        <f t="shared" si="56"/>
        <v>1.0025014345721326</v>
      </c>
      <c r="F167" s="365">
        <f t="shared" si="57"/>
        <v>7.0657361481542488E-2</v>
      </c>
      <c r="G167" s="364">
        <f t="shared" si="58"/>
        <v>1.0382684633682759</v>
      </c>
      <c r="H167" s="365">
        <f t="shared" si="59"/>
        <v>-0.2723477044695724</v>
      </c>
      <c r="I167" s="363">
        <f t="shared" si="60"/>
        <v>38938.397554096337</v>
      </c>
      <c r="J167" s="366">
        <f t="shared" si="61"/>
        <v>1.5707706452038983</v>
      </c>
      <c r="K167" s="374">
        <f t="shared" si="82"/>
        <v>12.089135716620072</v>
      </c>
      <c r="L167" s="375">
        <f t="shared" si="83"/>
        <v>1.4879828029870226</v>
      </c>
      <c r="M167" s="363">
        <f t="shared" si="64"/>
        <v>1.0677570154963056</v>
      </c>
      <c r="N167" s="366">
        <f t="shared" si="65"/>
        <v>0.3581621663686258</v>
      </c>
      <c r="O167" s="367">
        <f t="shared" si="66"/>
        <v>1.0114725713504198</v>
      </c>
      <c r="P167" s="368">
        <f t="shared" si="67"/>
        <v>0.18420438952927959</v>
      </c>
      <c r="Q167" s="369">
        <f t="shared" si="68"/>
        <v>-2.9602789520947539</v>
      </c>
      <c r="R167" s="370">
        <f t="shared" si="69"/>
        <v>-133.05771391534182</v>
      </c>
      <c r="S167" s="372">
        <f t="shared" si="70"/>
        <v>46.942286084658178</v>
      </c>
      <c r="U167" s="345">
        <f t="shared" si="76"/>
        <v>9386.85</v>
      </c>
      <c r="V167" s="345">
        <f t="shared" si="77"/>
        <v>88112952.922499999</v>
      </c>
      <c r="X167" s="371">
        <f t="shared" si="71"/>
        <v>17.367569226583171</v>
      </c>
      <c r="Y167" s="372">
        <f t="shared" si="72"/>
        <v>-25.264574497075639</v>
      </c>
      <c r="AA167" s="371">
        <f t="shared" si="73"/>
        <v>37.173377089156077</v>
      </c>
      <c r="AB167" s="372">
        <f t="shared" si="74"/>
        <v>-107.79313941826619</v>
      </c>
      <c r="AD167">
        <f t="shared" si="78"/>
        <v>0</v>
      </c>
      <c r="AE167">
        <f t="shared" si="81"/>
        <v>0</v>
      </c>
    </row>
    <row r="168" spans="1:31" x14ac:dyDescent="0.2">
      <c r="A168" s="373">
        <v>9441.2000000000007</v>
      </c>
      <c r="B168" s="390">
        <f t="shared" si="75"/>
        <v>9.4412000000000003</v>
      </c>
      <c r="C168" s="363">
        <f t="shared" si="54"/>
        <v>13.361177968276142</v>
      </c>
      <c r="D168" s="364">
        <f t="shared" si="55"/>
        <v>1.4958825759145338</v>
      </c>
      <c r="E168" s="364">
        <f t="shared" si="56"/>
        <v>1.0025304484538533</v>
      </c>
      <c r="F168" s="365">
        <f t="shared" si="57"/>
        <v>7.106509658197023E-2</v>
      </c>
      <c r="G168" s="364">
        <f t="shared" si="58"/>
        <v>1.0387046141721294</v>
      </c>
      <c r="H168" s="365">
        <f t="shared" si="59"/>
        <v>-0.2738471452352168</v>
      </c>
      <c r="I168" s="363">
        <f t="shared" si="60"/>
        <v>39163.851450310023</v>
      </c>
      <c r="J168" s="366">
        <f t="shared" si="61"/>
        <v>1.5707707930446888</v>
      </c>
      <c r="K168" s="374">
        <f t="shared" si="82"/>
        <v>12.158654416327858</v>
      </c>
      <c r="L168" s="375">
        <f t="shared" si="83"/>
        <v>1.4884573762355506</v>
      </c>
      <c r="M168" s="363">
        <f t="shared" si="64"/>
        <v>1.0685186763021959</v>
      </c>
      <c r="N168" s="366">
        <f t="shared" si="65"/>
        <v>0.3600617230899249</v>
      </c>
      <c r="O168" s="367">
        <f t="shared" si="66"/>
        <v>1.0116052290435882</v>
      </c>
      <c r="P168" s="368">
        <f t="shared" si="67"/>
        <v>0.18525869426467478</v>
      </c>
      <c r="Q168" s="369">
        <f t="shared" si="68"/>
        <v>-3.0139174362797223</v>
      </c>
      <c r="R168" s="370">
        <f t="shared" si="69"/>
        <v>-133.287083725407</v>
      </c>
      <c r="S168" s="372">
        <f t="shared" si="70"/>
        <v>46.712916274592999</v>
      </c>
      <c r="U168" s="345">
        <f t="shared" si="76"/>
        <v>9441.2000000000007</v>
      </c>
      <c r="V168" s="345">
        <f t="shared" si="77"/>
        <v>89136257.440000013</v>
      </c>
      <c r="X168" s="371">
        <f t="shared" si="71"/>
        <v>17.361034385962334</v>
      </c>
      <c r="Y168" s="372">
        <f t="shared" si="72"/>
        <v>-25.346228506687957</v>
      </c>
      <c r="AA168" s="371">
        <f t="shared" si="73"/>
        <v>37.126273445591941</v>
      </c>
      <c r="AB168" s="372">
        <f t="shared" si="74"/>
        <v>-107.94085521871904</v>
      </c>
      <c r="AD168">
        <f t="shared" si="78"/>
        <v>0</v>
      </c>
      <c r="AE168">
        <f t="shared" si="81"/>
        <v>0</v>
      </c>
    </row>
    <row r="169" spans="1:31" x14ac:dyDescent="0.2">
      <c r="A169" s="373">
        <v>9495.5499999999993</v>
      </c>
      <c r="B169" s="390">
        <f t="shared" si="75"/>
        <v>9.4955499999999997</v>
      </c>
      <c r="C169" s="363">
        <f t="shared" si="54"/>
        <v>13.437664415337604</v>
      </c>
      <c r="D169" s="364">
        <f t="shared" si="55"/>
        <v>1.4963097734964361</v>
      </c>
      <c r="E169" s="364">
        <f t="shared" si="56"/>
        <v>1.0025596289945047</v>
      </c>
      <c r="F169" s="365">
        <f t="shared" si="57"/>
        <v>7.1472808015067571E-2</v>
      </c>
      <c r="G169" s="364">
        <f t="shared" si="58"/>
        <v>1.0391430983556029</v>
      </c>
      <c r="H169" s="365">
        <f t="shared" si="59"/>
        <v>-0.2753453239375912</v>
      </c>
      <c r="I169" s="363">
        <f t="shared" si="60"/>
        <v>39389.305346524539</v>
      </c>
      <c r="J169" s="366">
        <f t="shared" si="61"/>
        <v>1.5707709391930764</v>
      </c>
      <c r="K169" s="374">
        <f t="shared" si="82"/>
        <v>12.228175823268675</v>
      </c>
      <c r="L169" s="375">
        <f t="shared" si="83"/>
        <v>1.4889265533627836</v>
      </c>
      <c r="M169" s="363">
        <f t="shared" si="64"/>
        <v>1.0692841871600427</v>
      </c>
      <c r="N169" s="366">
        <f t="shared" si="65"/>
        <v>0.36195856682555089</v>
      </c>
      <c r="O169" s="367">
        <f t="shared" si="66"/>
        <v>1.0117386393409011</v>
      </c>
      <c r="P169" s="368">
        <f t="shared" si="67"/>
        <v>0.18631279057657898</v>
      </c>
      <c r="Q169" s="369">
        <f t="shared" si="68"/>
        <v>-3.0672808381586423</v>
      </c>
      <c r="R169" s="370">
        <f t="shared" si="69"/>
        <v>-133.51624243112767</v>
      </c>
      <c r="S169" s="372">
        <f t="shared" si="70"/>
        <v>46.483757568872335</v>
      </c>
      <c r="U169" s="345">
        <f t="shared" si="76"/>
        <v>9495.5499999999993</v>
      </c>
      <c r="V169" s="345">
        <f t="shared" si="77"/>
        <v>90165469.80249998</v>
      </c>
      <c r="X169" s="371">
        <f t="shared" si="71"/>
        <v>17.354478499646149</v>
      </c>
      <c r="Y169" s="372">
        <f t="shared" si="72"/>
        <v>-25.428036151679905</v>
      </c>
      <c r="AA169" s="371">
        <f t="shared" si="73"/>
        <v>37.079465930029215</v>
      </c>
      <c r="AB169" s="372">
        <f t="shared" si="74"/>
        <v>-108.08820627944776</v>
      </c>
      <c r="AD169">
        <f t="shared" si="78"/>
        <v>0</v>
      </c>
      <c r="AE169">
        <f t="shared" si="81"/>
        <v>0</v>
      </c>
    </row>
    <row r="170" spans="1:31" x14ac:dyDescent="0.2">
      <c r="A170" s="373">
        <v>9549.9</v>
      </c>
      <c r="B170" s="390">
        <f t="shared" si="75"/>
        <v>9.5498999999999992</v>
      </c>
      <c r="C170" s="363">
        <f t="shared" si="54"/>
        <v>13.514153286983449</v>
      </c>
      <c r="D170" s="364">
        <f t="shared" si="55"/>
        <v>1.496732135356206</v>
      </c>
      <c r="E170" s="364">
        <f t="shared" si="56"/>
        <v>1.0025889761795352</v>
      </c>
      <c r="F170" s="365">
        <f t="shared" si="57"/>
        <v>7.1880495647360404E-2</v>
      </c>
      <c r="G170" s="364">
        <f t="shared" si="58"/>
        <v>1.0395839129661202</v>
      </c>
      <c r="H170" s="365">
        <f t="shared" si="59"/>
        <v>-0.27684223545249365</v>
      </c>
      <c r="I170" s="363">
        <f t="shared" si="60"/>
        <v>39614.759242739899</v>
      </c>
      <c r="J170" s="366">
        <f t="shared" si="61"/>
        <v>1.5707710836779569</v>
      </c>
      <c r="K170" s="374">
        <f t="shared" si="82"/>
        <v>12.297699891528902</v>
      </c>
      <c r="L170" s="375">
        <f t="shared" si="83"/>
        <v>1.4893904256800203</v>
      </c>
      <c r="M170" s="363">
        <f t="shared" si="64"/>
        <v>1.0700535398069233</v>
      </c>
      <c r="N170" s="366">
        <f t="shared" si="65"/>
        <v>0.36385268976301133</v>
      </c>
      <c r="O170" s="367">
        <f t="shared" si="66"/>
        <v>1.011872802018517</v>
      </c>
      <c r="P170" s="368">
        <f t="shared" si="67"/>
        <v>0.18736667736674756</v>
      </c>
      <c r="Q170" s="369">
        <f t="shared" si="68"/>
        <v>-3.1203723818556157</v>
      </c>
      <c r="R170" s="370">
        <f t="shared" si="69"/>
        <v>-133.74518878251962</v>
      </c>
      <c r="S170" s="372">
        <f t="shared" si="70"/>
        <v>46.25481121748038</v>
      </c>
      <c r="U170" s="345">
        <f t="shared" si="76"/>
        <v>9549.9</v>
      </c>
      <c r="V170" s="345">
        <f t="shared" si="77"/>
        <v>91200590.00999999</v>
      </c>
      <c r="X170" s="371">
        <f t="shared" si="71"/>
        <v>17.347901564268323</v>
      </c>
      <c r="Y170" s="372">
        <f t="shared" si="72"/>
        <v>-25.509991754332198</v>
      </c>
      <c r="AA170" s="371">
        <f t="shared" si="73"/>
        <v>37.032951321710065</v>
      </c>
      <c r="AB170" s="372">
        <f t="shared" si="74"/>
        <v>-108.23519702818747</v>
      </c>
      <c r="AD170">
        <f t="shared" si="78"/>
        <v>0</v>
      </c>
      <c r="AE170">
        <f t="shared" si="81"/>
        <v>0</v>
      </c>
    </row>
    <row r="171" spans="1:31" x14ac:dyDescent="0.2">
      <c r="A171" s="373">
        <v>9605.5249999999996</v>
      </c>
      <c r="B171" s="390">
        <f t="shared" si="75"/>
        <v>9.6055250000000001</v>
      </c>
      <c r="C171" s="363">
        <f t="shared" si="54"/>
        <v>13.592438983638379</v>
      </c>
      <c r="D171" s="364">
        <f t="shared" si="55"/>
        <v>1.4971594832504618</v>
      </c>
      <c r="E171" s="364">
        <f t="shared" si="56"/>
        <v>1.0026191843609316</v>
      </c>
      <c r="F171" s="365">
        <f t="shared" si="57"/>
        <v>7.2297722464838815E-2</v>
      </c>
      <c r="G171" s="364">
        <f t="shared" si="58"/>
        <v>1.0400374786541018</v>
      </c>
      <c r="H171" s="365">
        <f t="shared" si="59"/>
        <v>-0.27837294566571369</v>
      </c>
      <c r="I171" s="363">
        <f t="shared" si="60"/>
        <v>39845.502075803837</v>
      </c>
      <c r="J171" s="366">
        <f t="shared" si="61"/>
        <v>1.5707712298592826</v>
      </c>
      <c r="K171" s="374">
        <f t="shared" si="82"/>
        <v>12.368857638059641</v>
      </c>
      <c r="L171" s="375">
        <f t="shared" si="83"/>
        <v>1.4898597802115672</v>
      </c>
      <c r="M171" s="363">
        <f t="shared" si="64"/>
        <v>1.070844910136872</v>
      </c>
      <c r="N171" s="366">
        <f t="shared" si="65"/>
        <v>0.36578842171198939</v>
      </c>
      <c r="O171" s="367">
        <f t="shared" si="66"/>
        <v>1.0120108908544065</v>
      </c>
      <c r="P171" s="368">
        <f t="shared" si="67"/>
        <v>0.18844506925559348</v>
      </c>
      <c r="Q171" s="369">
        <f t="shared" si="68"/>
        <v>-3.17443120926559</v>
      </c>
      <c r="R171" s="370">
        <f t="shared" si="69"/>
        <v>-133.9792848293028</v>
      </c>
      <c r="S171" s="372">
        <f t="shared" si="70"/>
        <v>46.020715170697201</v>
      </c>
      <c r="U171" s="345">
        <f t="shared" si="76"/>
        <v>9605.5249999999996</v>
      </c>
      <c r="V171" s="345">
        <f t="shared" si="77"/>
        <v>92266110.52562499</v>
      </c>
      <c r="X171" s="371">
        <f t="shared" si="71"/>
        <v>17.341148545079545</v>
      </c>
      <c r="Y171" s="372">
        <f t="shared" si="72"/>
        <v>-25.59401736719331</v>
      </c>
      <c r="AA171" s="371">
        <f t="shared" si="73"/>
        <v>36.985645513488862</v>
      </c>
      <c r="AB171" s="372">
        <f t="shared" si="74"/>
        <v>-108.38526746210951</v>
      </c>
      <c r="AD171">
        <f t="shared" si="78"/>
        <v>0</v>
      </c>
      <c r="AE171">
        <f t="shared" si="81"/>
        <v>0</v>
      </c>
    </row>
    <row r="172" spans="1:31" x14ac:dyDescent="0.2">
      <c r="A172" s="373">
        <v>9661.15</v>
      </c>
      <c r="B172" s="390">
        <f t="shared" si="75"/>
        <v>9.6611499999999992</v>
      </c>
      <c r="C172" s="363">
        <f t="shared" si="54"/>
        <v>13.670727134198545</v>
      </c>
      <c r="D172" s="364">
        <f t="shared" si="55"/>
        <v>1.4975819366349192</v>
      </c>
      <c r="E172" s="364">
        <f t="shared" si="56"/>
        <v>1.0026495670659539</v>
      </c>
      <c r="F172" s="365">
        <f t="shared" si="57"/>
        <v>7.2714924068977477E-2</v>
      </c>
      <c r="G172" s="364">
        <f t="shared" si="58"/>
        <v>1.0404934790987324</v>
      </c>
      <c r="H172" s="365">
        <f t="shared" si="59"/>
        <v>-0.27990231777996172</v>
      </c>
      <c r="I172" s="363">
        <f t="shared" si="60"/>
        <v>40076.244908868619</v>
      </c>
      <c r="J172" s="366">
        <f t="shared" si="61"/>
        <v>1.5707713743573022</v>
      </c>
      <c r="K172" s="374">
        <f t="shared" si="82"/>
        <v>12.440018078199289</v>
      </c>
      <c r="L172" s="375">
        <f t="shared" si="83"/>
        <v>1.4903237651616361</v>
      </c>
      <c r="M172" s="363">
        <f t="shared" si="64"/>
        <v>1.0716402870500159</v>
      </c>
      <c r="N172" s="366">
        <f t="shared" si="65"/>
        <v>0.36772128747424565</v>
      </c>
      <c r="O172" s="367">
        <f t="shared" si="66"/>
        <v>1.0121497673068509</v>
      </c>
      <c r="P172" s="368">
        <f t="shared" si="67"/>
        <v>0.18952323935466764</v>
      </c>
      <c r="Q172" s="369">
        <f t="shared" si="68"/>
        <v>-3.2282119273444225</v>
      </c>
      <c r="R172" s="370">
        <f t="shared" si="69"/>
        <v>-134.21315584841557</v>
      </c>
      <c r="S172" s="372">
        <f t="shared" si="70"/>
        <v>45.786844151584432</v>
      </c>
      <c r="U172" s="345">
        <f t="shared" si="76"/>
        <v>9661.15</v>
      </c>
      <c r="V172" s="345">
        <f t="shared" si="77"/>
        <v>93337819.32249999</v>
      </c>
      <c r="X172" s="371">
        <f t="shared" si="71"/>
        <v>17.334373482535664</v>
      </c>
      <c r="Y172" s="372">
        <f t="shared" si="72"/>
        <v>-25.678186317562243</v>
      </c>
      <c r="AA172" s="371">
        <f t="shared" si="73"/>
        <v>36.938639857953909</v>
      </c>
      <c r="AB172" s="372">
        <f t="shared" si="74"/>
        <v>-108.53496953085332</v>
      </c>
      <c r="AD172">
        <f t="shared" si="78"/>
        <v>0</v>
      </c>
      <c r="AE172">
        <f t="shared" si="81"/>
        <v>0</v>
      </c>
    </row>
    <row r="173" spans="1:31" x14ac:dyDescent="0.2">
      <c r="A173" s="373">
        <v>9716.7749999999996</v>
      </c>
      <c r="B173" s="390">
        <f t="shared" si="75"/>
        <v>9.7167750000000002</v>
      </c>
      <c r="C173" s="363">
        <f t="shared" si="54"/>
        <v>13.749017696745668</v>
      </c>
      <c r="D173" s="364">
        <f t="shared" si="55"/>
        <v>1.4979995789694085</v>
      </c>
      <c r="E173" s="364">
        <f t="shared" si="56"/>
        <v>1.0026801242787364</v>
      </c>
      <c r="F173" s="365">
        <f t="shared" si="57"/>
        <v>7.3132100316841184E-2</v>
      </c>
      <c r="G173" s="364">
        <f t="shared" si="58"/>
        <v>1.0409519111002965</v>
      </c>
      <c r="H173" s="365">
        <f t="shared" si="59"/>
        <v>-0.28143034640412379</v>
      </c>
      <c r="I173" s="363">
        <f t="shared" si="60"/>
        <v>40306.987741934223</v>
      </c>
      <c r="J173" s="366">
        <f t="shared" si="61"/>
        <v>1.5707715172009249</v>
      </c>
      <c r="K173" s="374">
        <f t="shared" si="82"/>
        <v>12.511181165986141</v>
      </c>
      <c r="L173" s="375">
        <f t="shared" si="83"/>
        <v>1.4907824719546086</v>
      </c>
      <c r="M173" s="363">
        <f t="shared" si="64"/>
        <v>1.0724396616318854</v>
      </c>
      <c r="N173" s="366">
        <f t="shared" si="65"/>
        <v>0.36965127900077155</v>
      </c>
      <c r="O173" s="367">
        <f t="shared" si="66"/>
        <v>1.0122894311321939</v>
      </c>
      <c r="P173" s="368">
        <f t="shared" si="67"/>
        <v>0.1906011864920758</v>
      </c>
      <c r="Q173" s="369">
        <f t="shared" si="68"/>
        <v>-3.2817178126975506</v>
      </c>
      <c r="R173" s="370">
        <f t="shared" si="69"/>
        <v>-134.44680055616178</v>
      </c>
      <c r="S173" s="372">
        <f t="shared" si="70"/>
        <v>45.553199443838224</v>
      </c>
      <c r="U173" s="345">
        <f t="shared" si="76"/>
        <v>9716.7749999999996</v>
      </c>
      <c r="V173" s="345">
        <f t="shared" si="77"/>
        <v>94415716.40062499</v>
      </c>
      <c r="X173" s="371">
        <f t="shared" si="71"/>
        <v>17.327576384926044</v>
      </c>
      <c r="Y173" s="372">
        <f t="shared" si="72"/>
        <v>-25.762492907689929</v>
      </c>
      <c r="AA173" s="371">
        <f t="shared" si="73"/>
        <v>36.891931070210411</v>
      </c>
      <c r="AB173" s="372">
        <f t="shared" si="74"/>
        <v>-108.68430764847187</v>
      </c>
      <c r="AD173">
        <f t="shared" si="78"/>
        <v>0</v>
      </c>
      <c r="AE173">
        <f t="shared" si="81"/>
        <v>0</v>
      </c>
    </row>
    <row r="174" spans="1:31" x14ac:dyDescent="0.2">
      <c r="A174" s="373">
        <v>9772.4</v>
      </c>
      <c r="B174" s="390">
        <f t="shared" si="75"/>
        <v>9.7723999999999993</v>
      </c>
      <c r="C174" s="363">
        <f t="shared" si="54"/>
        <v>13.827310630309567</v>
      </c>
      <c r="D174" s="364">
        <f t="shared" si="55"/>
        <v>1.498412491830297</v>
      </c>
      <c r="E174" s="364">
        <f t="shared" si="56"/>
        <v>1.0027108559833258</v>
      </c>
      <c r="F174" s="365">
        <f t="shared" si="57"/>
        <v>7.3549251065547355E-2</v>
      </c>
      <c r="G174" s="364">
        <f t="shared" si="58"/>
        <v>1.0414127714476649</v>
      </c>
      <c r="H174" s="365">
        <f t="shared" si="59"/>
        <v>-0.28295702618164842</v>
      </c>
      <c r="I174" s="363">
        <f t="shared" si="60"/>
        <v>40537.730575000649</v>
      </c>
      <c r="J174" s="366">
        <f t="shared" si="61"/>
        <v>1.5707716584184011</v>
      </c>
      <c r="K174" s="374">
        <f t="shared" si="82"/>
        <v>12.582346856496603</v>
      </c>
      <c r="L174" s="375">
        <f t="shared" si="83"/>
        <v>1.491235989955483</v>
      </c>
      <c r="M174" s="363">
        <f t="shared" si="64"/>
        <v>1.0732430249498306</v>
      </c>
      <c r="N174" s="366">
        <f t="shared" si="65"/>
        <v>0.37157838835212742</v>
      </c>
      <c r="O174" s="367">
        <f t="shared" si="66"/>
        <v>1.0124298820855431</v>
      </c>
      <c r="P174" s="368">
        <f t="shared" si="67"/>
        <v>0.19167890949778427</v>
      </c>
      <c r="Q174" s="369">
        <f t="shared" si="68"/>
        <v>-3.3349520840636906</v>
      </c>
      <c r="R174" s="370">
        <f t="shared" si="69"/>
        <v>-134.68021768724881</v>
      </c>
      <c r="S174" s="372">
        <f t="shared" si="70"/>
        <v>45.319782312751187</v>
      </c>
      <c r="U174" s="345">
        <f t="shared" si="76"/>
        <v>9772.4</v>
      </c>
      <c r="V174" s="345">
        <f t="shared" si="77"/>
        <v>95499801.75999999</v>
      </c>
      <c r="X174" s="371">
        <f t="shared" si="71"/>
        <v>17.320757264277603</v>
      </c>
      <c r="Y174" s="372">
        <f t="shared" si="72"/>
        <v>-25.846931564061368</v>
      </c>
      <c r="AA174" s="371">
        <f t="shared" si="73"/>
        <v>36.845515919492712</v>
      </c>
      <c r="AB174" s="372">
        <f t="shared" si="74"/>
        <v>-108.83328612318748</v>
      </c>
      <c r="AD174">
        <f t="shared" si="78"/>
        <v>0</v>
      </c>
      <c r="AE174">
        <f t="shared" si="81"/>
        <v>0</v>
      </c>
    </row>
    <row r="175" spans="1:31" x14ac:dyDescent="0.2">
      <c r="A175" s="373">
        <v>9829.2999999999993</v>
      </c>
      <c r="B175" s="390">
        <f t="shared" si="75"/>
        <v>9.8292999999999999</v>
      </c>
      <c r="C175" s="363">
        <f t="shared" si="54"/>
        <v>13.90740055488684</v>
      </c>
      <c r="D175" s="364">
        <f t="shared" si="55"/>
        <v>1.4988300590139412</v>
      </c>
      <c r="E175" s="364">
        <f t="shared" si="56"/>
        <v>1.0027424726203193</v>
      </c>
      <c r="F175" s="365">
        <f t="shared" si="57"/>
        <v>7.397593694038905E-2</v>
      </c>
      <c r="G175" s="364">
        <f t="shared" si="58"/>
        <v>1.0418867044511131</v>
      </c>
      <c r="H175" s="365">
        <f t="shared" si="59"/>
        <v>-0.28451729839288192</v>
      </c>
      <c r="I175" s="363">
        <f t="shared" si="60"/>
        <v>40773.762344915711</v>
      </c>
      <c r="J175" s="366">
        <f t="shared" si="61"/>
        <v>1.5707718012190706</v>
      </c>
      <c r="K175" s="374">
        <f t="shared" si="82"/>
        <v>12.655146407704281</v>
      </c>
      <c r="L175" s="375">
        <f t="shared" si="83"/>
        <v>1.4916946257128474</v>
      </c>
      <c r="M175" s="363">
        <f t="shared" si="64"/>
        <v>1.0740689200315419</v>
      </c>
      <c r="N175" s="366">
        <f t="shared" si="65"/>
        <v>0.37354667945821962</v>
      </c>
      <c r="O175" s="367">
        <f t="shared" si="66"/>
        <v>1.0125743665053379</v>
      </c>
      <c r="P175" s="368">
        <f t="shared" si="67"/>
        <v>0.19278110225335585</v>
      </c>
      <c r="Q175" s="369">
        <f t="shared" si="68"/>
        <v>-3.3891288291476713</v>
      </c>
      <c r="R175" s="370">
        <f t="shared" si="69"/>
        <v>-134.91874829257759</v>
      </c>
      <c r="S175" s="372">
        <f t="shared" si="70"/>
        <v>45.08125170742241</v>
      </c>
      <c r="U175" s="345">
        <f t="shared" si="76"/>
        <v>9829.2999999999993</v>
      </c>
      <c r="V175" s="345">
        <f t="shared" si="77"/>
        <v>96615138.48999998</v>
      </c>
      <c r="X175" s="371">
        <f t="shared" si="71"/>
        <v>17.313759070489489</v>
      </c>
      <c r="Y175" s="372">
        <f t="shared" si="72"/>
        <v>-25.933436626037334</v>
      </c>
      <c r="AA175" s="371">
        <f t="shared" si="73"/>
        <v>36.79833736819684</v>
      </c>
      <c r="AB175" s="372">
        <f t="shared" si="74"/>
        <v>-108.98531166654027</v>
      </c>
      <c r="AD175">
        <f t="shared" si="78"/>
        <v>0</v>
      </c>
      <c r="AE175">
        <f t="shared" si="81"/>
        <v>0</v>
      </c>
    </row>
    <row r="176" spans="1:31" x14ac:dyDescent="0.2">
      <c r="A176" s="373">
        <v>9886.2000000000007</v>
      </c>
      <c r="B176" s="390">
        <f t="shared" si="75"/>
        <v>9.8862000000000005</v>
      </c>
      <c r="C176" s="363">
        <f t="shared" si="54"/>
        <v>13.987492876621541</v>
      </c>
      <c r="D176" s="364">
        <f t="shared" si="55"/>
        <v>1.4992428442932175</v>
      </c>
      <c r="E176" s="364">
        <f t="shared" si="56"/>
        <v>1.0027742718059141</v>
      </c>
      <c r="F176" s="365">
        <f t="shared" si="57"/>
        <v>7.4402595831453713E-2</v>
      </c>
      <c r="G176" s="364">
        <f t="shared" si="58"/>
        <v>1.0423631715649186</v>
      </c>
      <c r="H176" s="365">
        <f t="shared" si="59"/>
        <v>-0.28607614798661074</v>
      </c>
      <c r="I176" s="363">
        <f t="shared" si="60"/>
        <v>41009.794114831609</v>
      </c>
      <c r="J176" s="366">
        <f t="shared" si="61"/>
        <v>1.5707719423759625</v>
      </c>
      <c r="K176" s="374">
        <f t="shared" si="82"/>
        <v>12.727948590429536</v>
      </c>
      <c r="L176" s="375">
        <f t="shared" si="83"/>
        <v>1.4921480148929143</v>
      </c>
      <c r="M176" s="363">
        <f t="shared" si="64"/>
        <v>1.0748989698349407</v>
      </c>
      <c r="N176" s="366">
        <f t="shared" si="65"/>
        <v>0.37551193829255386</v>
      </c>
      <c r="O176" s="367">
        <f t="shared" si="66"/>
        <v>1.0127196740284312</v>
      </c>
      <c r="P176" s="368">
        <f t="shared" si="67"/>
        <v>0.19388305801403247</v>
      </c>
      <c r="Q176" s="369">
        <f t="shared" si="68"/>
        <v>-3.4430279994908037</v>
      </c>
      <c r="R176" s="370">
        <f t="shared" si="69"/>
        <v>-135.15703814841862</v>
      </c>
      <c r="S176" s="372">
        <f t="shared" si="70"/>
        <v>44.842961851581379</v>
      </c>
      <c r="U176" s="345">
        <f t="shared" si="76"/>
        <v>9886.2000000000007</v>
      </c>
      <c r="V176" s="345">
        <f t="shared" si="77"/>
        <v>97736950.440000013</v>
      </c>
      <c r="X176" s="371">
        <f t="shared" si="71"/>
        <v>17.306737869372807</v>
      </c>
      <c r="Y176" s="372">
        <f t="shared" si="72"/>
        <v>-26.020068464193905</v>
      </c>
      <c r="AA176" s="371">
        <f t="shared" si="73"/>
        <v>36.751459398970383</v>
      </c>
      <c r="AB176" s="372">
        <f t="shared" si="74"/>
        <v>-109.13696968422472</v>
      </c>
      <c r="AD176">
        <f t="shared" si="78"/>
        <v>0</v>
      </c>
      <c r="AE176">
        <f t="shared" si="81"/>
        <v>0</v>
      </c>
    </row>
    <row r="177" spans="1:31" x14ac:dyDescent="0.2">
      <c r="A177" s="373">
        <v>9943.1</v>
      </c>
      <c r="B177" s="390">
        <f t="shared" si="75"/>
        <v>9.9431000000000012</v>
      </c>
      <c r="C177" s="363">
        <f t="shared" si="54"/>
        <v>14.067587554569778</v>
      </c>
      <c r="D177" s="364">
        <f t="shared" si="55"/>
        <v>1.4996509292044431</v>
      </c>
      <c r="E177" s="364">
        <f t="shared" si="56"/>
        <v>1.0028062535227444</v>
      </c>
      <c r="F177" s="365">
        <f t="shared" si="57"/>
        <v>7.4829227585979638E-2</v>
      </c>
      <c r="G177" s="364">
        <f t="shared" si="58"/>
        <v>1.0428421693156311</v>
      </c>
      <c r="H177" s="365">
        <f t="shared" si="59"/>
        <v>-0.28763356934194972</v>
      </c>
      <c r="I177" s="363">
        <f t="shared" si="60"/>
        <v>41245.825884748294</v>
      </c>
      <c r="J177" s="366">
        <f t="shared" si="61"/>
        <v>1.5707720819172963</v>
      </c>
      <c r="K177" s="374">
        <f t="shared" si="82"/>
        <v>12.800753359773392</v>
      </c>
      <c r="L177" s="375">
        <f t="shared" si="83"/>
        <v>1.492596246827997</v>
      </c>
      <c r="M177" s="363">
        <f t="shared" si="64"/>
        <v>1.0757331647425143</v>
      </c>
      <c r="N177" s="366">
        <f t="shared" si="65"/>
        <v>0.3774741567113567</v>
      </c>
      <c r="O177" s="367">
        <f t="shared" si="66"/>
        <v>1.0128658043886971</v>
      </c>
      <c r="P177" s="368">
        <f t="shared" si="67"/>
        <v>0.19498477553356355</v>
      </c>
      <c r="Q177" s="369">
        <f t="shared" si="68"/>
        <v>-3.4966528608681093</v>
      </c>
      <c r="R177" s="370">
        <f t="shared" si="69"/>
        <v>-135.39508595840195</v>
      </c>
      <c r="S177" s="372">
        <f t="shared" si="70"/>
        <v>44.60491404159805</v>
      </c>
      <c r="U177" s="345">
        <f t="shared" si="76"/>
        <v>9943.1</v>
      </c>
      <c r="V177" s="345">
        <f t="shared" si="77"/>
        <v>98865237.610000014</v>
      </c>
      <c r="X177" s="371">
        <f t="shared" si="71"/>
        <v>17.299693685108195</v>
      </c>
      <c r="Y177" s="372">
        <f t="shared" si="72"/>
        <v>-26.106821495179545</v>
      </c>
      <c r="AA177" s="371">
        <f t="shared" si="73"/>
        <v>36.704878721857696</v>
      </c>
      <c r="AB177" s="372">
        <f t="shared" si="74"/>
        <v>-109.28826446322243</v>
      </c>
      <c r="AD177">
        <f t="shared" si="78"/>
        <v>0</v>
      </c>
      <c r="AE177">
        <f t="shared" si="81"/>
        <v>0</v>
      </c>
    </row>
    <row r="178" spans="1:31" x14ac:dyDescent="0.2">
      <c r="A178" s="373">
        <v>10000</v>
      </c>
      <c r="B178" s="390">
        <f t="shared" si="75"/>
        <v>10</v>
      </c>
      <c r="C178" s="363">
        <f t="shared" si="54"/>
        <v>14.147684548713663</v>
      </c>
      <c r="D178" s="364">
        <f t="shared" si="55"/>
        <v>1.5000543934438104</v>
      </c>
      <c r="E178" s="364">
        <f t="shared" si="56"/>
        <v>1.0028384177533465</v>
      </c>
      <c r="F178" s="365">
        <f t="shared" si="57"/>
        <v>7.5255832051264043E-2</v>
      </c>
      <c r="G178" s="364">
        <f t="shared" si="58"/>
        <v>1.0433236942177473</v>
      </c>
      <c r="H178" s="365">
        <f t="shared" si="59"/>
        <v>-0.28918955687602316</v>
      </c>
      <c r="I178" s="363">
        <f t="shared" si="60"/>
        <v>41481.857654665779</v>
      </c>
      <c r="J178" s="366">
        <f t="shared" si="61"/>
        <v>1.5707722198706497</v>
      </c>
      <c r="K178" s="374">
        <f t="shared" si="82"/>
        <v>12.873560671850978</v>
      </c>
      <c r="L178" s="375">
        <f t="shared" si="83"/>
        <v>1.4930394088379062</v>
      </c>
      <c r="M178" s="363">
        <f t="shared" si="64"/>
        <v>1.0765714951186047</v>
      </c>
      <c r="N178" s="366">
        <f t="shared" si="65"/>
        <v>0.37943332668968471</v>
      </c>
      <c r="O178" s="367">
        <f t="shared" si="66"/>
        <v>1.0130127573186665</v>
      </c>
      <c r="P178" s="368">
        <f t="shared" si="67"/>
        <v>0.19608625356777226</v>
      </c>
      <c r="Q178" s="369">
        <f t="shared" si="68"/>
        <v>-3.5500066213259815</v>
      </c>
      <c r="R178" s="370">
        <f t="shared" si="69"/>
        <v>-135.63289044509909</v>
      </c>
      <c r="S178" s="372">
        <f t="shared" si="70"/>
        <v>44.367109554900907</v>
      </c>
      <c r="U178" s="345">
        <f t="shared" si="76"/>
        <v>10000</v>
      </c>
      <c r="V178" s="345">
        <f t="shared" si="77"/>
        <v>100000000</v>
      </c>
      <c r="X178" s="371">
        <f t="shared" si="71"/>
        <v>17.292626545424067</v>
      </c>
      <c r="Y178" s="372">
        <f t="shared" si="72"/>
        <v>-26.193690257722334</v>
      </c>
      <c r="AA178" s="371">
        <f t="shared" si="73"/>
        <v>36.658592101083954</v>
      </c>
      <c r="AB178" s="372">
        <f t="shared" si="74"/>
        <v>-109.43920018737677</v>
      </c>
      <c r="AD178">
        <f t="shared" si="78"/>
        <v>0</v>
      </c>
      <c r="AE178">
        <f t="shared" si="81"/>
        <v>0</v>
      </c>
    </row>
    <row r="179" spans="1:31" x14ac:dyDescent="0.2">
      <c r="A179" s="373">
        <v>10058.25</v>
      </c>
      <c r="B179" s="390">
        <f t="shared" si="75"/>
        <v>10.058249999999999</v>
      </c>
      <c r="C179" s="363">
        <f t="shared" si="54"/>
        <v>14.229684269350409</v>
      </c>
      <c r="D179" s="364">
        <f t="shared" si="55"/>
        <v>1.5004627251223186</v>
      </c>
      <c r="E179" s="364">
        <f t="shared" si="56"/>
        <v>1.0028715341494143</v>
      </c>
      <c r="F179" s="365">
        <f t="shared" si="57"/>
        <v>7.569252963613457E-2</v>
      </c>
      <c r="G179" s="364">
        <f t="shared" si="58"/>
        <v>1.0438192578493735</v>
      </c>
      <c r="H179" s="365">
        <f t="shared" si="59"/>
        <v>-0.29078097047162937</v>
      </c>
      <c r="I179" s="363">
        <f t="shared" si="60"/>
        <v>41723.489475364193</v>
      </c>
      <c r="J179" s="366">
        <f t="shared" si="61"/>
        <v>1.5707723594802576</v>
      </c>
      <c r="K179" s="374">
        <f t="shared" si="82"/>
        <v>12.948097987345651</v>
      </c>
      <c r="L179" s="375">
        <f t="shared" si="83"/>
        <v>1.4934879225650357</v>
      </c>
      <c r="M179" s="363">
        <f t="shared" si="64"/>
        <v>1.0774339893125242</v>
      </c>
      <c r="N179" s="366">
        <f t="shared" si="65"/>
        <v>0.38143581356851958</v>
      </c>
      <c r="O179" s="367">
        <f t="shared" si="66"/>
        <v>1.0131640486243652</v>
      </c>
      <c r="P179" s="368">
        <f t="shared" si="67"/>
        <v>0.19721361571533208</v>
      </c>
      <c r="Q179" s="369">
        <f t="shared" si="68"/>
        <v>-3.6043487090919859</v>
      </c>
      <c r="R179" s="370">
        <f t="shared" si="69"/>
        <v>-135.87608367629699</v>
      </c>
      <c r="S179" s="372">
        <f t="shared" si="70"/>
        <v>44.123916323703014</v>
      </c>
      <c r="U179" s="345">
        <f t="shared" si="76"/>
        <v>10058.25</v>
      </c>
      <c r="V179" s="345">
        <f t="shared" si="77"/>
        <v>101168393.0625</v>
      </c>
      <c r="X179" s="371">
        <f t="shared" si="71"/>
        <v>17.285367985660255</v>
      </c>
      <c r="Y179" s="372">
        <f t="shared" si="72"/>
        <v>-26.28273435993475</v>
      </c>
      <c r="AA179" s="371">
        <f t="shared" si="73"/>
        <v>36.611508573081764</v>
      </c>
      <c r="AB179" s="372">
        <f t="shared" si="74"/>
        <v>-109.59334931636224</v>
      </c>
      <c r="AD179">
        <f t="shared" si="78"/>
        <v>0</v>
      </c>
      <c r="AE179">
        <f t="shared" si="81"/>
        <v>0</v>
      </c>
    </row>
    <row r="180" spans="1:31" x14ac:dyDescent="0.2">
      <c r="A180" s="373">
        <v>10116.5</v>
      </c>
      <c r="B180" s="390">
        <f t="shared" si="75"/>
        <v>10.1165</v>
      </c>
      <c r="C180" s="363">
        <f t="shared" si="54"/>
        <v>14.311686335382182</v>
      </c>
      <c r="D180" s="364">
        <f t="shared" si="55"/>
        <v>1.5008663776088069</v>
      </c>
      <c r="E180" s="364">
        <f t="shared" si="56"/>
        <v>1.0029048417852264</v>
      </c>
      <c r="F180" s="365">
        <f t="shared" si="57"/>
        <v>7.6129198297806275E-2</v>
      </c>
      <c r="G180" s="364">
        <f t="shared" si="58"/>
        <v>1.0443174625419307</v>
      </c>
      <c r="H180" s="365">
        <f t="shared" si="59"/>
        <v>-0.29237086968314074</v>
      </c>
      <c r="I180" s="363">
        <f t="shared" si="60"/>
        <v>41965.121296063407</v>
      </c>
      <c r="J180" s="366">
        <f t="shared" si="61"/>
        <v>1.5707724974821433</v>
      </c>
      <c r="K180" s="374">
        <f t="shared" si="82"/>
        <v>13.022637877721616</v>
      </c>
      <c r="L180" s="375">
        <f t="shared" si="83"/>
        <v>1.4939313019116911</v>
      </c>
      <c r="M180" s="363">
        <f t="shared" si="64"/>
        <v>1.0783007970451957</v>
      </c>
      <c r="N180" s="366">
        <f t="shared" si="65"/>
        <v>0.38343508899740975</v>
      </c>
      <c r="O180" s="367">
        <f t="shared" si="66"/>
        <v>1.0133162014235373</v>
      </c>
      <c r="P180" s="368">
        <f t="shared" si="67"/>
        <v>0.19834072424671101</v>
      </c>
      <c r="Q180" s="369">
        <f t="shared" si="68"/>
        <v>-3.6584133033868911</v>
      </c>
      <c r="R180" s="370">
        <f t="shared" si="69"/>
        <v>-136.1190192514515</v>
      </c>
      <c r="S180" s="372">
        <f t="shared" si="70"/>
        <v>43.880980748548495</v>
      </c>
      <c r="U180" s="345">
        <f t="shared" si="76"/>
        <v>10116.5</v>
      </c>
      <c r="V180" s="345">
        <f t="shared" si="77"/>
        <v>102343572.25</v>
      </c>
      <c r="X180" s="371">
        <f t="shared" si="71"/>
        <v>17.278085437947066</v>
      </c>
      <c r="Y180" s="372">
        <f t="shared" si="72"/>
        <v>-26.371888545835237</v>
      </c>
      <c r="AA180" s="371">
        <f t="shared" si="73"/>
        <v>36.564726526500039</v>
      </c>
      <c r="AB180" s="372">
        <f t="shared" si="74"/>
        <v>-109.74713070561626</v>
      </c>
      <c r="AD180">
        <f t="shared" si="78"/>
        <v>0</v>
      </c>
      <c r="AE180">
        <f t="shared" si="81"/>
        <v>0</v>
      </c>
    </row>
    <row r="181" spans="1:31" x14ac:dyDescent="0.2">
      <c r="A181" s="373">
        <v>10174.75</v>
      </c>
      <c r="B181" s="390">
        <f t="shared" si="75"/>
        <v>10.17475</v>
      </c>
      <c r="C181" s="363">
        <f t="shared" si="54"/>
        <v>14.393690706723243</v>
      </c>
      <c r="D181" s="364">
        <f t="shared" si="55"/>
        <v>1.5012654307460993</v>
      </c>
      <c r="E181" s="364">
        <f t="shared" si="56"/>
        <v>1.0029383406417294</v>
      </c>
      <c r="F181" s="365">
        <f t="shared" si="57"/>
        <v>7.6565837872641554E-2</v>
      </c>
      <c r="G181" s="364">
        <f t="shared" si="58"/>
        <v>1.0448183045173782</v>
      </c>
      <c r="H181" s="365">
        <f t="shared" si="59"/>
        <v>-0.29395924864482564</v>
      </c>
      <c r="I181" s="363">
        <f t="shared" si="60"/>
        <v>42206.753116763415</v>
      </c>
      <c r="J181" s="366">
        <f t="shared" si="61"/>
        <v>1.5707726339039194</v>
      </c>
      <c r="K181" s="374">
        <f t="shared" si="82"/>
        <v>13.097180299015664</v>
      </c>
      <c r="L181" s="375">
        <f t="shared" si="83"/>
        <v>1.4943696343688104</v>
      </c>
      <c r="M181" s="363">
        <f t="shared" si="64"/>
        <v>1.0791719079225137</v>
      </c>
      <c r="N181" s="366">
        <f t="shared" si="65"/>
        <v>0.3854311447515037</v>
      </c>
      <c r="O181" s="367">
        <f t="shared" si="66"/>
        <v>1.0134692154248666</v>
      </c>
      <c r="P181" s="368">
        <f t="shared" si="67"/>
        <v>0.1994675778338704</v>
      </c>
      <c r="Q181" s="369">
        <f t="shared" si="68"/>
        <v>-3.7122036665883238</v>
      </c>
      <c r="R181" s="370">
        <f t="shared" si="69"/>
        <v>-136.36169585989384</v>
      </c>
      <c r="S181" s="372">
        <f t="shared" si="70"/>
        <v>43.638304140106158</v>
      </c>
      <c r="U181" s="345">
        <f t="shared" si="76"/>
        <v>10174.75</v>
      </c>
      <c r="V181" s="345">
        <f t="shared" si="77"/>
        <v>103525537.5625</v>
      </c>
      <c r="X181" s="371">
        <f t="shared" si="71"/>
        <v>17.270778942785302</v>
      </c>
      <c r="Y181" s="372">
        <f t="shared" si="72"/>
        <v>-26.461147332895077</v>
      </c>
      <c r="AA181" s="371">
        <f t="shared" si="73"/>
        <v>36.518242658460373</v>
      </c>
      <c r="AB181" s="372">
        <f t="shared" si="74"/>
        <v>-109.90054852699876</v>
      </c>
      <c r="AD181">
        <f t="shared" si="78"/>
        <v>0</v>
      </c>
      <c r="AE181">
        <f t="shared" si="81"/>
        <v>0</v>
      </c>
    </row>
    <row r="182" spans="1:31" x14ac:dyDescent="0.2">
      <c r="A182" s="373">
        <v>10233</v>
      </c>
      <c r="B182" s="390">
        <f t="shared" si="75"/>
        <v>10.233000000000001</v>
      </c>
      <c r="C182" s="363">
        <f t="shared" si="54"/>
        <v>14.475697344195078</v>
      </c>
      <c r="D182" s="364">
        <f t="shared" si="55"/>
        <v>1.5016599625736768</v>
      </c>
      <c r="E182" s="364">
        <f t="shared" si="56"/>
        <v>1.0029720306997632</v>
      </c>
      <c r="F182" s="365">
        <f t="shared" si="57"/>
        <v>7.7002448197069015E-2</v>
      </c>
      <c r="G182" s="364">
        <f t="shared" si="58"/>
        <v>1.0453217799849346</v>
      </c>
      <c r="H182" s="365">
        <f t="shared" si="59"/>
        <v>-0.29554610153284833</v>
      </c>
      <c r="I182" s="363">
        <f t="shared" si="60"/>
        <v>42448.384937464201</v>
      </c>
      <c r="J182" s="366">
        <f t="shared" si="61"/>
        <v>1.5707727687725699</v>
      </c>
      <c r="K182" s="374">
        <f t="shared" si="82"/>
        <v>13.171725208258303</v>
      </c>
      <c r="L182" s="375">
        <f t="shared" si="83"/>
        <v>1.4948030054545831</v>
      </c>
      <c r="M182" s="363">
        <f t="shared" si="64"/>
        <v>1.0800473115323901</v>
      </c>
      <c r="N182" s="366">
        <f t="shared" si="65"/>
        <v>0.38742397273504248</v>
      </c>
      <c r="O182" s="367">
        <f t="shared" si="66"/>
        <v>1.0136230903355752</v>
      </c>
      <c r="P182" s="368">
        <f t="shared" si="67"/>
        <v>0.20059417515108943</v>
      </c>
      <c r="Q182" s="369">
        <f t="shared" si="68"/>
        <v>-3.7657230033054456</v>
      </c>
      <c r="R182" s="370">
        <f t="shared" si="69"/>
        <v>-136.60411221055134</v>
      </c>
      <c r="S182" s="372">
        <f t="shared" si="70"/>
        <v>43.395887789448665</v>
      </c>
      <c r="U182" s="345">
        <f t="shared" si="76"/>
        <v>10233</v>
      </c>
      <c r="V182" s="345">
        <f t="shared" si="77"/>
        <v>104714289</v>
      </c>
      <c r="X182" s="371">
        <f t="shared" si="71"/>
        <v>17.263448544046355</v>
      </c>
      <c r="Y182" s="372">
        <f t="shared" si="72"/>
        <v>-26.550505358976199</v>
      </c>
      <c r="AA182" s="371">
        <f t="shared" si="73"/>
        <v>36.472053720482201</v>
      </c>
      <c r="AB182" s="372">
        <f t="shared" si="74"/>
        <v>-110.05360685157515</v>
      </c>
      <c r="AD182">
        <f t="shared" si="78"/>
        <v>0</v>
      </c>
      <c r="AE182">
        <f t="shared" si="81"/>
        <v>0</v>
      </c>
    </row>
    <row r="183" spans="1:31" x14ac:dyDescent="0.2">
      <c r="A183" s="373">
        <v>10292.5</v>
      </c>
      <c r="B183" s="390">
        <f t="shared" si="75"/>
        <v>10.2925</v>
      </c>
      <c r="C183" s="363">
        <f t="shared" si="54"/>
        <v>14.559466080534621</v>
      </c>
      <c r="D183" s="364">
        <f t="shared" si="55"/>
        <v>1.50205837217667</v>
      </c>
      <c r="E183" s="364">
        <f t="shared" si="56"/>
        <v>1.0030066411004919</v>
      </c>
      <c r="F183" s="365">
        <f t="shared" si="57"/>
        <v>7.7448397473071015E-2</v>
      </c>
      <c r="G183" s="364">
        <f t="shared" si="58"/>
        <v>1.0458387745597466</v>
      </c>
      <c r="H183" s="365">
        <f t="shared" si="59"/>
        <v>-0.29716542549855335</v>
      </c>
      <c r="I183" s="363">
        <f t="shared" si="60"/>
        <v>42695.201990369642</v>
      </c>
      <c r="J183" s="366">
        <f t="shared" si="61"/>
        <v>1.5707729049593395</v>
      </c>
      <c r="K183" s="374">
        <f t="shared" si="82"/>
        <v>13.24787231860028</v>
      </c>
      <c r="L183" s="375">
        <f t="shared" si="83"/>
        <v>1.4952406410523826</v>
      </c>
      <c r="M183" s="363">
        <f t="shared" si="64"/>
        <v>1.0809459216816795</v>
      </c>
      <c r="N183" s="366">
        <f t="shared" si="65"/>
        <v>0.38945622457218954</v>
      </c>
      <c r="O183" s="367">
        <f t="shared" si="66"/>
        <v>1.0137811557963168</v>
      </c>
      <c r="P183" s="368">
        <f t="shared" si="67"/>
        <v>0.2017446824223682</v>
      </c>
      <c r="Q183" s="369">
        <f t="shared" si="68"/>
        <v>-3.8201142838943398</v>
      </c>
      <c r="R183" s="370">
        <f t="shared" si="69"/>
        <v>-136.85146061143863</v>
      </c>
      <c r="S183" s="372">
        <f t="shared" si="70"/>
        <v>43.148539388561375</v>
      </c>
      <c r="U183" s="345">
        <f t="shared" si="76"/>
        <v>10292.5</v>
      </c>
      <c r="V183" s="345">
        <f t="shared" si="77"/>
        <v>105935556.25</v>
      </c>
      <c r="X183" s="371">
        <f t="shared" si="71"/>
        <v>17.2559362111182</v>
      </c>
      <c r="Y183" s="372">
        <f t="shared" si="72"/>
        <v>-26.641877942465374</v>
      </c>
      <c r="AA183" s="371">
        <f t="shared" si="73"/>
        <v>36.425174772821457</v>
      </c>
      <c r="AB183" s="372">
        <f t="shared" si="74"/>
        <v>-110.20958266897323</v>
      </c>
      <c r="AD183">
        <f t="shared" si="78"/>
        <v>0</v>
      </c>
      <c r="AE183">
        <f t="shared" si="81"/>
        <v>0</v>
      </c>
    </row>
    <row r="184" spans="1:31" x14ac:dyDescent="0.2">
      <c r="A184" s="373">
        <v>10352</v>
      </c>
      <c r="B184" s="390">
        <f t="shared" si="75"/>
        <v>10.352</v>
      </c>
      <c r="C184" s="363">
        <f t="shared" si="54"/>
        <v>14.643237101459965</v>
      </c>
      <c r="D184" s="364">
        <f t="shared" si="55"/>
        <v>1.5024522233988089</v>
      </c>
      <c r="E184" s="364">
        <f t="shared" si="56"/>
        <v>1.0030414509561216</v>
      </c>
      <c r="F184" s="365">
        <f t="shared" si="57"/>
        <v>7.7894315885029375E-2</v>
      </c>
      <c r="G184" s="364">
        <f t="shared" si="58"/>
        <v>1.0463585088293801</v>
      </c>
      <c r="H184" s="365">
        <f t="shared" si="59"/>
        <v>-0.29878314504157266</v>
      </c>
      <c r="I184" s="363">
        <f t="shared" si="60"/>
        <v>42942.019043275875</v>
      </c>
      <c r="J184" s="366">
        <f t="shared" si="61"/>
        <v>1.570773039580593</v>
      </c>
      <c r="K184" s="374">
        <f t="shared" si="82"/>
        <v>13.324021937238177</v>
      </c>
      <c r="L184" s="375">
        <f t="shared" si="83"/>
        <v>1.4956732743712513</v>
      </c>
      <c r="M184" s="363">
        <f t="shared" si="64"/>
        <v>1.0818489887618474</v>
      </c>
      <c r="N184" s="366">
        <f t="shared" si="65"/>
        <v>0.39148509195649189</v>
      </c>
      <c r="O184" s="367">
        <f t="shared" si="66"/>
        <v>1.0139401188896271</v>
      </c>
      <c r="P184" s="368">
        <f t="shared" si="67"/>
        <v>0.20289491951828029</v>
      </c>
      <c r="Q184" s="369">
        <f t="shared" si="68"/>
        <v>-3.8742293614985019</v>
      </c>
      <c r="R184" s="370">
        <f t="shared" si="69"/>
        <v>-137.09853480307316</v>
      </c>
      <c r="S184" s="372">
        <f t="shared" si="70"/>
        <v>42.901465196926836</v>
      </c>
      <c r="U184" s="345">
        <f t="shared" si="76"/>
        <v>10352</v>
      </c>
      <c r="V184" s="345">
        <f t="shared" si="77"/>
        <v>107163904</v>
      </c>
      <c r="X184" s="371">
        <f t="shared" si="71"/>
        <v>17.248399040471146</v>
      </c>
      <c r="Y184" s="372">
        <f t="shared" si="72"/>
        <v>-26.733343130863904</v>
      </c>
      <c r="AA184" s="371">
        <f t="shared" si="73"/>
        <v>36.378596865864353</v>
      </c>
      <c r="AB184" s="372">
        <f t="shared" si="74"/>
        <v>-110.36519167220925</v>
      </c>
      <c r="AD184">
        <f t="shared" si="78"/>
        <v>0</v>
      </c>
      <c r="AE184">
        <f t="shared" si="81"/>
        <v>0</v>
      </c>
    </row>
    <row r="185" spans="1:31" x14ac:dyDescent="0.2">
      <c r="A185" s="373">
        <v>10411.5</v>
      </c>
      <c r="B185" s="390">
        <f t="shared" si="75"/>
        <v>10.4115</v>
      </c>
      <c r="C185" s="363">
        <f t="shared" si="54"/>
        <v>14.727010367985169</v>
      </c>
      <c r="D185" s="364">
        <f t="shared" si="55"/>
        <v>1.5028415939066628</v>
      </c>
      <c r="E185" s="364">
        <f t="shared" si="56"/>
        <v>1.0030764602458875</v>
      </c>
      <c r="F185" s="365">
        <f t="shared" si="57"/>
        <v>7.8340203258830898E-2</v>
      </c>
      <c r="G185" s="364">
        <f t="shared" si="58"/>
        <v>1.0468809787133904</v>
      </c>
      <c r="H185" s="365">
        <f t="shared" si="59"/>
        <v>-0.3003992540906294</v>
      </c>
      <c r="I185" s="363">
        <f t="shared" si="60"/>
        <v>43188.83609618288</v>
      </c>
      <c r="J185" s="366">
        <f t="shared" si="61"/>
        <v>1.57077317266317</v>
      </c>
      <c r="K185" s="374">
        <f t="shared" si="82"/>
        <v>13.400174021410065</v>
      </c>
      <c r="L185" s="375">
        <f t="shared" si="83"/>
        <v>1.4961009905304552</v>
      </c>
      <c r="M185" s="363">
        <f t="shared" si="64"/>
        <v>1.0827565016210587</v>
      </c>
      <c r="N185" s="366">
        <f t="shared" si="65"/>
        <v>0.39351056667438411</v>
      </c>
      <c r="O185" s="367">
        <f t="shared" si="66"/>
        <v>1.0140999792987735</v>
      </c>
      <c r="P185" s="368">
        <f t="shared" si="67"/>
        <v>0.20404488503346876</v>
      </c>
      <c r="Q185" s="369">
        <f t="shared" si="68"/>
        <v>-3.9280714732894078</v>
      </c>
      <c r="R185" s="370">
        <f t="shared" si="69"/>
        <v>-137.34533347097855</v>
      </c>
      <c r="S185" s="372">
        <f t="shared" si="70"/>
        <v>42.654666529021455</v>
      </c>
      <c r="U185" s="345">
        <f t="shared" si="76"/>
        <v>10411.5</v>
      </c>
      <c r="V185" s="345">
        <f t="shared" si="77"/>
        <v>108399332.25</v>
      </c>
      <c r="X185" s="371">
        <f t="shared" si="71"/>
        <v>17.240837088984588</v>
      </c>
      <c r="Y185" s="372">
        <f t="shared" si="72"/>
        <v>-26.824895578132253</v>
      </c>
      <c r="AA185" s="371">
        <f t="shared" si="73"/>
        <v>36.332316705560004</v>
      </c>
      <c r="AB185" s="372">
        <f t="shared" si="74"/>
        <v>-110.52043789284629</v>
      </c>
      <c r="AD185">
        <f t="shared" si="78"/>
        <v>0</v>
      </c>
      <c r="AE185">
        <f t="shared" si="81"/>
        <v>0</v>
      </c>
    </row>
    <row r="186" spans="1:31" x14ac:dyDescent="0.2">
      <c r="A186" s="373">
        <v>10471</v>
      </c>
      <c r="B186" s="390">
        <f t="shared" si="75"/>
        <v>10.471</v>
      </c>
      <c r="C186" s="363">
        <f t="shared" si="54"/>
        <v>14.810785842005327</v>
      </c>
      <c r="D186" s="364">
        <f t="shared" si="55"/>
        <v>1.5032265596150596</v>
      </c>
      <c r="E186" s="364">
        <f t="shared" si="56"/>
        <v>1.0031116689489081</v>
      </c>
      <c r="F186" s="365">
        <f t="shared" si="57"/>
        <v>7.8786059420435969E-2</v>
      </c>
      <c r="G186" s="364">
        <f t="shared" si="58"/>
        <v>1.0474061801180181</v>
      </c>
      <c r="H186" s="365">
        <f t="shared" si="59"/>
        <v>-0.30201374662017921</v>
      </c>
      <c r="I186" s="363">
        <f t="shared" si="60"/>
        <v>43435.653149090635</v>
      </c>
      <c r="J186" s="366">
        <f t="shared" si="61"/>
        <v>1.5707733042333005</v>
      </c>
      <c r="K186" s="374">
        <f t="shared" si="82"/>
        <v>13.476328529319199</v>
      </c>
      <c r="L186" s="375">
        <f t="shared" si="83"/>
        <v>1.496523872732521</v>
      </c>
      <c r="M186" s="363">
        <f t="shared" si="64"/>
        <v>1.0836684490900255</v>
      </c>
      <c r="N186" s="366">
        <f t="shared" si="65"/>
        <v>0.39553264065109484</v>
      </c>
      <c r="O186" s="367">
        <f t="shared" si="66"/>
        <v>1.0142607367054477</v>
      </c>
      <c r="P186" s="368">
        <f t="shared" si="67"/>
        <v>0.20519457756514375</v>
      </c>
      <c r="Q186" s="369">
        <f t="shared" si="68"/>
        <v>-3.9816437991408717</v>
      </c>
      <c r="R186" s="370">
        <f t="shared" si="69"/>
        <v>-137.59185532081241</v>
      </c>
      <c r="S186" s="372">
        <f t="shared" si="70"/>
        <v>42.408144679187586</v>
      </c>
      <c r="U186" s="345">
        <f t="shared" si="76"/>
        <v>10471</v>
      </c>
      <c r="V186" s="345">
        <f t="shared" si="77"/>
        <v>109641841</v>
      </c>
      <c r="X186" s="371">
        <f t="shared" si="71"/>
        <v>17.233250416703456</v>
      </c>
      <c r="Y186" s="372">
        <f t="shared" si="72"/>
        <v>-26.916530055969343</v>
      </c>
      <c r="AA186" s="371">
        <f t="shared" si="73"/>
        <v>36.286331051989677</v>
      </c>
      <c r="AB186" s="372">
        <f t="shared" si="74"/>
        <v>-110.67532526484308</v>
      </c>
      <c r="AD186">
        <f t="shared" si="78"/>
        <v>0</v>
      </c>
      <c r="AE186">
        <f t="shared" si="81"/>
        <v>0</v>
      </c>
    </row>
    <row r="187" spans="1:31" x14ac:dyDescent="0.2">
      <c r="A187" s="373">
        <v>10532</v>
      </c>
      <c r="B187" s="390">
        <f t="shared" si="75"/>
        <v>10.532</v>
      </c>
      <c r="C187" s="363">
        <f t="shared" si="54"/>
        <v>14.896675555450186</v>
      </c>
      <c r="D187" s="364">
        <f t="shared" si="55"/>
        <v>1.5036167352525556</v>
      </c>
      <c r="E187" s="364">
        <f t="shared" si="56"/>
        <v>1.0031479722617695</v>
      </c>
      <c r="F187" s="365">
        <f t="shared" si="57"/>
        <v>7.9243123068817409E-2</v>
      </c>
      <c r="G187" s="364">
        <f t="shared" si="58"/>
        <v>1.0479474532761555</v>
      </c>
      <c r="H187" s="365">
        <f t="shared" si="59"/>
        <v>-0.30366725622030766</v>
      </c>
      <c r="I187" s="363">
        <f t="shared" si="60"/>
        <v>43688.692480643906</v>
      </c>
      <c r="J187" s="366">
        <f t="shared" si="61"/>
        <v>1.5707734375770395</v>
      </c>
      <c r="K187" s="374">
        <f t="shared" si="82"/>
        <v>13.554405372166588</v>
      </c>
      <c r="L187" s="375">
        <f t="shared" si="83"/>
        <v>1.4969524826791076</v>
      </c>
      <c r="M187" s="363">
        <f t="shared" si="64"/>
        <v>1.0846079788351382</v>
      </c>
      <c r="N187" s="366">
        <f t="shared" si="65"/>
        <v>0.39760215255396836</v>
      </c>
      <c r="O187" s="367">
        <f t="shared" si="66"/>
        <v>1.0144264776876206</v>
      </c>
      <c r="P187" s="368">
        <f t="shared" si="67"/>
        <v>0.20637296908318439</v>
      </c>
      <c r="Q187" s="369">
        <f t="shared" si="68"/>
        <v>-4.0362898840721568</v>
      </c>
      <c r="R187" s="370">
        <f t="shared" si="69"/>
        <v>-137.84430329917009</v>
      </c>
      <c r="S187" s="372">
        <f t="shared" si="70"/>
        <v>42.155696700829907</v>
      </c>
      <c r="U187" s="345">
        <f t="shared" si="76"/>
        <v>10532</v>
      </c>
      <c r="V187" s="345">
        <f t="shared" si="77"/>
        <v>110923024</v>
      </c>
      <c r="X187" s="371">
        <f t="shared" si="71"/>
        <v>17.225446886376886</v>
      </c>
      <c r="Y187" s="372">
        <f t="shared" si="72"/>
        <v>-27.010554452800246</v>
      </c>
      <c r="AA187" s="371">
        <f t="shared" si="73"/>
        <v>36.239488497384961</v>
      </c>
      <c r="AB187" s="372">
        <f t="shared" si="74"/>
        <v>-110.83374884636982</v>
      </c>
      <c r="AD187">
        <f t="shared" si="78"/>
        <v>0</v>
      </c>
      <c r="AE187">
        <f t="shared" si="81"/>
        <v>0</v>
      </c>
    </row>
    <row r="188" spans="1:31" x14ac:dyDescent="0.2">
      <c r="A188" s="373">
        <v>10593</v>
      </c>
      <c r="B188" s="390">
        <f t="shared" si="75"/>
        <v>10.593</v>
      </c>
      <c r="C188" s="363">
        <f t="shared" si="54"/>
        <v>14.982567510719189</v>
      </c>
      <c r="D188" s="364">
        <f t="shared" si="55"/>
        <v>1.5040024373560328</v>
      </c>
      <c r="E188" s="364">
        <f t="shared" si="56"/>
        <v>1.0031844851242504</v>
      </c>
      <c r="F188" s="365">
        <f t="shared" si="57"/>
        <v>7.9700153541218205E-2</v>
      </c>
      <c r="G188" s="364">
        <f t="shared" si="58"/>
        <v>1.0484915886583202</v>
      </c>
      <c r="H188" s="365">
        <f t="shared" si="59"/>
        <v>-0.30531905408989485</v>
      </c>
      <c r="I188" s="363">
        <f t="shared" si="60"/>
        <v>43941.731812197933</v>
      </c>
      <c r="J188" s="366">
        <f t="shared" si="61"/>
        <v>1.5707735693850531</v>
      </c>
      <c r="K188" s="374">
        <f t="shared" si="82"/>
        <v>13.632484676523754</v>
      </c>
      <c r="L188" s="375">
        <f t="shared" si="83"/>
        <v>1.4973761830231143</v>
      </c>
      <c r="M188" s="363">
        <f t="shared" si="64"/>
        <v>1.0855521457731667</v>
      </c>
      <c r="N188" s="366">
        <f t="shared" si="65"/>
        <v>0.39966807334583609</v>
      </c>
      <c r="O188" s="367">
        <f t="shared" si="66"/>
        <v>1.0145931607815595</v>
      </c>
      <c r="P188" s="368">
        <f t="shared" si="67"/>
        <v>0.20755107070267592</v>
      </c>
      <c r="Q188" s="369">
        <f t="shared" si="68"/>
        <v>-4.0906589985699782</v>
      </c>
      <c r="R188" s="370">
        <f t="shared" si="69"/>
        <v>-138.09645763486517</v>
      </c>
      <c r="S188" s="372">
        <f t="shared" si="70"/>
        <v>41.903542365134825</v>
      </c>
      <c r="U188" s="345">
        <f t="shared" si="76"/>
        <v>10593</v>
      </c>
      <c r="V188" s="345">
        <f t="shared" si="77"/>
        <v>112211649</v>
      </c>
      <c r="X188" s="371">
        <f t="shared" si="71"/>
        <v>17.217617510638849</v>
      </c>
      <c r="Y188" s="372">
        <f t="shared" si="72"/>
        <v>-27.104654305643177</v>
      </c>
      <c r="AA188" s="371">
        <f t="shared" si="73"/>
        <v>36.192948758625178</v>
      </c>
      <c r="AB188" s="372">
        <f t="shared" si="74"/>
        <v>-110.99180332922198</v>
      </c>
      <c r="AD188">
        <f t="shared" si="78"/>
        <v>0</v>
      </c>
      <c r="AE188">
        <f t="shared" si="81"/>
        <v>0</v>
      </c>
    </row>
    <row r="189" spans="1:31" x14ac:dyDescent="0.2">
      <c r="A189" s="373">
        <v>10654</v>
      </c>
      <c r="B189" s="390">
        <f t="shared" si="75"/>
        <v>10.654</v>
      </c>
      <c r="C189" s="363">
        <f t="shared" si="54"/>
        <v>15.068461669476376</v>
      </c>
      <c r="D189" s="364">
        <f t="shared" si="55"/>
        <v>1.5043837423106698</v>
      </c>
      <c r="E189" s="364">
        <f t="shared" si="56"/>
        <v>1.0032212075134708</v>
      </c>
      <c r="F189" s="365">
        <f t="shared" si="57"/>
        <v>8.015715065034501E-2</v>
      </c>
      <c r="G189" s="364">
        <f t="shared" si="58"/>
        <v>1.0490385818106136</v>
      </c>
      <c r="H189" s="365">
        <f t="shared" si="59"/>
        <v>-0.30696913388594643</v>
      </c>
      <c r="I189" s="363">
        <f t="shared" si="60"/>
        <v>44194.771143752718</v>
      </c>
      <c r="J189" s="366">
        <f t="shared" si="61"/>
        <v>1.5707736996837203</v>
      </c>
      <c r="K189" s="374">
        <f t="shared" si="82"/>
        <v>13.710566400337076</v>
      </c>
      <c r="L189" s="375">
        <f t="shared" si="83"/>
        <v>1.4977950574917109</v>
      </c>
      <c r="M189" s="363">
        <f t="shared" si="64"/>
        <v>1.0865009378149799</v>
      </c>
      <c r="N189" s="366">
        <f t="shared" si="65"/>
        <v>0.40173039477692313</v>
      </c>
      <c r="O189" s="367">
        <f t="shared" si="66"/>
        <v>1.0147607856391416</v>
      </c>
      <c r="P189" s="368">
        <f t="shared" si="67"/>
        <v>0.20872888092051284</v>
      </c>
      <c r="Q189" s="369">
        <f t="shared" si="68"/>
        <v>-4.1447543900864448</v>
      </c>
      <c r="R189" s="370">
        <f t="shared" si="69"/>
        <v>-138.34831699724947</v>
      </c>
      <c r="S189" s="372">
        <f t="shared" si="70"/>
        <v>41.651683002750531</v>
      </c>
      <c r="U189" s="345">
        <f t="shared" si="76"/>
        <v>10654</v>
      </c>
      <c r="V189" s="345">
        <f t="shared" si="77"/>
        <v>113507716</v>
      </c>
      <c r="X189" s="371">
        <f t="shared" si="71"/>
        <v>17.209762363805101</v>
      </c>
      <c r="Y189" s="372">
        <f t="shared" si="72"/>
        <v>-27.198824346118784</v>
      </c>
      <c r="AA189" s="371">
        <f t="shared" si="73"/>
        <v>36.146708513942457</v>
      </c>
      <c r="AB189" s="372">
        <f t="shared" si="74"/>
        <v>-111.14949265113066</v>
      </c>
      <c r="AD189">
        <f t="shared" si="78"/>
        <v>0</v>
      </c>
      <c r="AE189">
        <f t="shared" si="81"/>
        <v>0</v>
      </c>
    </row>
    <row r="190" spans="1:31" x14ac:dyDescent="0.2">
      <c r="A190" s="373">
        <v>10715</v>
      </c>
      <c r="B190" s="390">
        <f t="shared" si="75"/>
        <v>10.715</v>
      </c>
      <c r="C190" s="363">
        <f t="shared" si="54"/>
        <v>15.154357994253957</v>
      </c>
      <c r="D190" s="364">
        <f t="shared" si="55"/>
        <v>1.5047607247749923</v>
      </c>
      <c r="E190" s="364">
        <f t="shared" si="56"/>
        <v>1.0032581394064231</v>
      </c>
      <c r="F190" s="365">
        <f t="shared" si="57"/>
        <v>8.0614114208987592E-2</v>
      </c>
      <c r="G190" s="364">
        <f t="shared" si="58"/>
        <v>1.0495884282650536</v>
      </c>
      <c r="H190" s="365">
        <f t="shared" si="59"/>
        <v>-0.30861748931607902</v>
      </c>
      <c r="I190" s="363">
        <f t="shared" si="60"/>
        <v>44447.810475308244</v>
      </c>
      <c r="J190" s="366">
        <f t="shared" si="61"/>
        <v>1.5707738284988189</v>
      </c>
      <c r="K190" s="374">
        <f t="shared" si="82"/>
        <v>13.788650502504208</v>
      </c>
      <c r="L190" s="375">
        <f t="shared" si="83"/>
        <v>1.4982091879223671</v>
      </c>
      <c r="M190" s="363">
        <f t="shared" si="64"/>
        <v>1.0874543428545198</v>
      </c>
      <c r="N190" s="366">
        <f t="shared" si="65"/>
        <v>0.40378910874864432</v>
      </c>
      <c r="O190" s="367">
        <f t="shared" si="66"/>
        <v>1.0149293519105227</v>
      </c>
      <c r="P190" s="368">
        <f t="shared" si="67"/>
        <v>0.20990639823647397</v>
      </c>
      <c r="Q190" s="369">
        <f t="shared" si="68"/>
        <v>-4.1985792484086772</v>
      </c>
      <c r="R190" s="370">
        <f t="shared" si="69"/>
        <v>-138.59988007670492</v>
      </c>
      <c r="S190" s="372">
        <f t="shared" si="70"/>
        <v>41.40011992329508</v>
      </c>
      <c r="U190" s="345">
        <f t="shared" si="76"/>
        <v>10715</v>
      </c>
      <c r="V190" s="345">
        <f t="shared" si="77"/>
        <v>114811225</v>
      </c>
      <c r="X190" s="371">
        <f t="shared" si="71"/>
        <v>17.201881523197848</v>
      </c>
      <c r="Y190" s="372">
        <f t="shared" si="72"/>
        <v>-27.293059422747653</v>
      </c>
      <c r="AA190" s="371">
        <f t="shared" si="73"/>
        <v>36.100764496227477</v>
      </c>
      <c r="AB190" s="372">
        <f t="shared" si="74"/>
        <v>-111.30682065395726</v>
      </c>
      <c r="AD190">
        <f t="shared" si="78"/>
        <v>0</v>
      </c>
      <c r="AE190">
        <f t="shared" si="81"/>
        <v>0</v>
      </c>
    </row>
    <row r="191" spans="1:31" x14ac:dyDescent="0.2">
      <c r="A191" s="373">
        <v>10777.5</v>
      </c>
      <c r="B191" s="390">
        <f t="shared" si="75"/>
        <v>10.7775</v>
      </c>
      <c r="C191" s="363">
        <f t="shared" si="54"/>
        <v>15.242368732016596</v>
      </c>
      <c r="D191" s="364">
        <f t="shared" si="55"/>
        <v>1.5051425703708057</v>
      </c>
      <c r="E191" s="364">
        <f t="shared" si="56"/>
        <v>1.0032961967311527</v>
      </c>
      <c r="F191" s="365">
        <f t="shared" si="57"/>
        <v>8.1082279582627786E-2</v>
      </c>
      <c r="G191" s="364">
        <f t="shared" si="58"/>
        <v>1.0501547502567374</v>
      </c>
      <c r="H191" s="365">
        <f t="shared" si="59"/>
        <v>-0.31030458305892722</v>
      </c>
      <c r="I191" s="363">
        <f t="shared" si="60"/>
        <v>44707.072085509339</v>
      </c>
      <c r="J191" s="366">
        <f t="shared" si="61"/>
        <v>1.5707739589691045</v>
      </c>
      <c r="K191" s="374">
        <f t="shared" si="82"/>
        <v>13.868657130335672</v>
      </c>
      <c r="L191" s="375">
        <f t="shared" si="83"/>
        <v>1.4986286650752623</v>
      </c>
      <c r="M191" s="363">
        <f t="shared" si="64"/>
        <v>1.0884359641478856</v>
      </c>
      <c r="N191" s="366">
        <f t="shared" si="65"/>
        <v>0.40589469691222735</v>
      </c>
      <c r="O191" s="367">
        <f t="shared" si="66"/>
        <v>1.01510303930922</v>
      </c>
      <c r="P191" s="368">
        <f t="shared" si="67"/>
        <v>0.21111256553636371</v>
      </c>
      <c r="Q191" s="369">
        <f t="shared" si="68"/>
        <v>-4.2534503514082225</v>
      </c>
      <c r="R191" s="370">
        <f t="shared" si="69"/>
        <v>-138.85732048491926</v>
      </c>
      <c r="S191" s="372">
        <f t="shared" si="70"/>
        <v>41.142679515080744</v>
      </c>
      <c r="U191" s="345">
        <f t="shared" si="76"/>
        <v>10777.5</v>
      </c>
      <c r="V191" s="345">
        <f t="shared" si="77"/>
        <v>116154506.25</v>
      </c>
      <c r="X191" s="371">
        <f t="shared" si="71"/>
        <v>17.193780326063791</v>
      </c>
      <c r="Y191" s="372">
        <f t="shared" si="72"/>
        <v>-27.389673942957735</v>
      </c>
      <c r="AA191" s="371">
        <f t="shared" si="73"/>
        <v>36.053994590361988</v>
      </c>
      <c r="AB191" s="372">
        <f t="shared" si="74"/>
        <v>-111.46764654196156</v>
      </c>
      <c r="AD191">
        <f t="shared" si="78"/>
        <v>0</v>
      </c>
      <c r="AE191">
        <f t="shared" si="81"/>
        <v>0</v>
      </c>
    </row>
    <row r="192" spans="1:31" x14ac:dyDescent="0.2">
      <c r="A192" s="373">
        <v>10840</v>
      </c>
      <c r="B192" s="390">
        <f t="shared" si="75"/>
        <v>10.84</v>
      </c>
      <c r="C192" s="363">
        <f t="shared" si="54"/>
        <v>15.330381666691109</v>
      </c>
      <c r="D192" s="364">
        <f t="shared" si="55"/>
        <v>1.5055200316095461</v>
      </c>
      <c r="E192" s="364">
        <f t="shared" si="56"/>
        <v>1.0033344739404457</v>
      </c>
      <c r="F192" s="365">
        <f t="shared" si="57"/>
        <v>8.155040933784842E-2</v>
      </c>
      <c r="G192" s="364">
        <f t="shared" si="58"/>
        <v>1.0507240580614057</v>
      </c>
      <c r="H192" s="365">
        <f t="shared" si="59"/>
        <v>-0.31198985337751506</v>
      </c>
      <c r="I192" s="363">
        <f t="shared" si="60"/>
        <v>44966.333695711182</v>
      </c>
      <c r="J192" s="366">
        <f t="shared" si="61"/>
        <v>1.5707740879348897</v>
      </c>
      <c r="K192" s="374">
        <f t="shared" si="82"/>
        <v>13.948666170516196</v>
      </c>
      <c r="L192" s="375">
        <f t="shared" si="83"/>
        <v>1.4990433300891408</v>
      </c>
      <c r="M192" s="363">
        <f t="shared" si="64"/>
        <v>1.089422402315122</v>
      </c>
      <c r="N192" s="366">
        <f t="shared" si="65"/>
        <v>0.40799648129060817</v>
      </c>
      <c r="O192" s="367">
        <f t="shared" si="66"/>
        <v>1.0152777142409313</v>
      </c>
      <c r="P192" s="368">
        <f t="shared" si="67"/>
        <v>0.21231842217304522</v>
      </c>
      <c r="Q192" s="369">
        <f t="shared" si="68"/>
        <v>-4.3080440523374302</v>
      </c>
      <c r="R192" s="370">
        <f t="shared" si="69"/>
        <v>-139.11444714277343</v>
      </c>
      <c r="S192" s="372">
        <f t="shared" si="70"/>
        <v>40.885552857226571</v>
      </c>
      <c r="U192" s="345">
        <f t="shared" si="76"/>
        <v>10840</v>
      </c>
      <c r="V192" s="345">
        <f t="shared" si="77"/>
        <v>117505600</v>
      </c>
      <c r="X192" s="371">
        <f t="shared" si="71"/>
        <v>17.185652329522835</v>
      </c>
      <c r="Y192" s="372">
        <f t="shared" si="72"/>
        <v>-27.486346151384154</v>
      </c>
      <c r="AA192" s="371">
        <f t="shared" si="73"/>
        <v>36.007528885973741</v>
      </c>
      <c r="AB192" s="372">
        <f t="shared" si="74"/>
        <v>-111.62810099138932</v>
      </c>
      <c r="AD192">
        <f t="shared" si="78"/>
        <v>0</v>
      </c>
      <c r="AE192">
        <f t="shared" si="81"/>
        <v>0</v>
      </c>
    </row>
    <row r="193" spans="1:31" x14ac:dyDescent="0.2">
      <c r="A193" s="373">
        <v>10902.5</v>
      </c>
      <c r="B193" s="390">
        <f t="shared" si="75"/>
        <v>10.9025</v>
      </c>
      <c r="C193" s="363">
        <f t="shared" si="54"/>
        <v>15.418396760655558</v>
      </c>
      <c r="D193" s="364">
        <f t="shared" si="55"/>
        <v>1.5058931834663272</v>
      </c>
      <c r="E193" s="364">
        <f t="shared" si="56"/>
        <v>1.003372971009137</v>
      </c>
      <c r="F193" s="365">
        <f t="shared" si="57"/>
        <v>8.2018503273560611E-2</v>
      </c>
      <c r="G193" s="364">
        <f t="shared" si="58"/>
        <v>1.0512963468283425</v>
      </c>
      <c r="H193" s="365">
        <f t="shared" si="59"/>
        <v>-0.31367329366916313</v>
      </c>
      <c r="I193" s="363">
        <f t="shared" si="60"/>
        <v>45225.595305913768</v>
      </c>
      <c r="J193" s="366">
        <f t="shared" si="61"/>
        <v>1.5707742154220485</v>
      </c>
      <c r="K193" s="374">
        <f t="shared" si="82"/>
        <v>14.028677581771099</v>
      </c>
      <c r="L193" s="375">
        <f t="shared" si="83"/>
        <v>1.4994532651570878</v>
      </c>
      <c r="M193" s="363">
        <f t="shared" si="64"/>
        <v>1.0904136442835346</v>
      </c>
      <c r="N193" s="366">
        <f t="shared" si="65"/>
        <v>0.41009445366302189</v>
      </c>
      <c r="O193" s="367">
        <f t="shared" si="66"/>
        <v>1.0154533763237712</v>
      </c>
      <c r="P193" s="368">
        <f t="shared" si="67"/>
        <v>0.21352396654238245</v>
      </c>
      <c r="Q193" s="369">
        <f t="shared" si="68"/>
        <v>-4.3623636023548764</v>
      </c>
      <c r="R193" s="370">
        <f t="shared" si="69"/>
        <v>-139.37125870848118</v>
      </c>
      <c r="S193" s="372">
        <f t="shared" si="70"/>
        <v>40.628741291518821</v>
      </c>
      <c r="U193" s="345">
        <f t="shared" si="76"/>
        <v>10902.5</v>
      </c>
      <c r="V193" s="345">
        <f t="shared" si="77"/>
        <v>118864506.25</v>
      </c>
      <c r="X193" s="371">
        <f t="shared" si="71"/>
        <v>17.177497625834896</v>
      </c>
      <c r="Y193" s="372">
        <f t="shared" si="72"/>
        <v>-27.583070869177419</v>
      </c>
      <c r="AA193" s="371">
        <f t="shared" si="73"/>
        <v>35.961364039644231</v>
      </c>
      <c r="AB193" s="372">
        <f t="shared" si="74"/>
        <v>-111.78818783930379</v>
      </c>
      <c r="AD193">
        <f t="shared" si="78"/>
        <v>0</v>
      </c>
      <c r="AE193">
        <f t="shared" si="81"/>
        <v>0</v>
      </c>
    </row>
    <row r="194" spans="1:31" x14ac:dyDescent="0.2">
      <c r="A194" s="373">
        <v>10965</v>
      </c>
      <c r="B194" s="390">
        <f t="shared" si="75"/>
        <v>10.965</v>
      </c>
      <c r="C194" s="363">
        <f t="shared" si="54"/>
        <v>15.506413977141266</v>
      </c>
      <c r="D194" s="364">
        <f t="shared" si="55"/>
        <v>1.5062620992188358</v>
      </c>
      <c r="E194" s="364">
        <f t="shared" si="56"/>
        <v>1.0034116879119217</v>
      </c>
      <c r="F194" s="365">
        <f t="shared" si="57"/>
        <v>8.2486561188769097E-2</v>
      </c>
      <c r="G194" s="364">
        <f t="shared" si="58"/>
        <v>1.0518716116920173</v>
      </c>
      <c r="H194" s="365">
        <f t="shared" si="59"/>
        <v>-0.31535489738701356</v>
      </c>
      <c r="I194" s="363">
        <f t="shared" si="60"/>
        <v>45484.856916117074</v>
      </c>
      <c r="J194" s="366">
        <f t="shared" si="61"/>
        <v>1.5707743414558655</v>
      </c>
      <c r="K194" s="374">
        <f t="shared" si="82"/>
        <v>14.108691323760777</v>
      </c>
      <c r="L194" s="375">
        <f t="shared" si="83"/>
        <v>1.499858550614084</v>
      </c>
      <c r="M194" s="363">
        <f t="shared" si="64"/>
        <v>1.091409676964374</v>
      </c>
      <c r="N194" s="366">
        <f t="shared" si="65"/>
        <v>0.41218860597272333</v>
      </c>
      <c r="O194" s="367">
        <f t="shared" si="66"/>
        <v>1.015630025173978</v>
      </c>
      <c r="P194" s="368">
        <f t="shared" si="67"/>
        <v>0.21472919704347129</v>
      </c>
      <c r="Q194" s="369">
        <f t="shared" si="68"/>
        <v>-4.4164121947385659</v>
      </c>
      <c r="R194" s="370">
        <f t="shared" si="69"/>
        <v>-139.62775386220432</v>
      </c>
      <c r="S194" s="372">
        <f t="shared" si="70"/>
        <v>40.372246137795685</v>
      </c>
      <c r="U194" s="345">
        <f t="shared" si="76"/>
        <v>10965</v>
      </c>
      <c r="V194" s="345">
        <f t="shared" si="77"/>
        <v>120231225</v>
      </c>
      <c r="X194" s="371">
        <f t="shared" si="71"/>
        <v>17.169316310095553</v>
      </c>
      <c r="Y194" s="372">
        <f t="shared" si="72"/>
        <v>-27.679843033313325</v>
      </c>
      <c r="AA194" s="371">
        <f t="shared" si="73"/>
        <v>35.915496762999886</v>
      </c>
      <c r="AB194" s="372">
        <f t="shared" si="74"/>
        <v>-111.94791082889095</v>
      </c>
      <c r="AD194">
        <f t="shared" si="78"/>
        <v>0</v>
      </c>
      <c r="AE194">
        <f t="shared" si="81"/>
        <v>0</v>
      </c>
    </row>
    <row r="195" spans="1:31" x14ac:dyDescent="0.2">
      <c r="A195" s="373">
        <v>11028.75</v>
      </c>
      <c r="B195" s="390">
        <f t="shared" si="75"/>
        <v>11.02875</v>
      </c>
      <c r="C195" s="363">
        <f t="shared" si="54"/>
        <v>15.596193687310647</v>
      </c>
      <c r="D195" s="364">
        <f t="shared" si="55"/>
        <v>1.5066341035264792</v>
      </c>
      <c r="E195" s="364">
        <f t="shared" si="56"/>
        <v>1.0034514055994548</v>
      </c>
      <c r="F195" s="365">
        <f t="shared" si="57"/>
        <v>8.2963942945611074E-2</v>
      </c>
      <c r="G195" s="364">
        <f t="shared" si="58"/>
        <v>1.0524614427666841</v>
      </c>
      <c r="H195" s="365">
        <f t="shared" si="59"/>
        <v>-0.31706823440954074</v>
      </c>
      <c r="I195" s="363">
        <f t="shared" si="60"/>
        <v>45749.303758525188</v>
      </c>
      <c r="J195" s="366">
        <f t="shared" si="61"/>
        <v>1.5707744685387501</v>
      </c>
      <c r="K195" s="374">
        <f t="shared" si="82"/>
        <v>14.190307700825372</v>
      </c>
      <c r="L195" s="375">
        <f t="shared" si="83"/>
        <v>1.5002672331817786</v>
      </c>
      <c r="M195" s="363">
        <f t="shared" si="64"/>
        <v>1.0924305521007931</v>
      </c>
      <c r="N195" s="366">
        <f t="shared" si="65"/>
        <v>0.41432069771485269</v>
      </c>
      <c r="O195" s="367">
        <f t="shared" si="66"/>
        <v>1.0158112231689929</v>
      </c>
      <c r="P195" s="368">
        <f t="shared" si="67"/>
        <v>0.21595820715064865</v>
      </c>
      <c r="Q195" s="369">
        <f t="shared" si="68"/>
        <v>-4.4712658711320188</v>
      </c>
      <c r="R195" s="370">
        <f t="shared" si="69"/>
        <v>-139.88905160518459</v>
      </c>
      <c r="S195" s="372">
        <f t="shared" si="70"/>
        <v>40.110948394815409</v>
      </c>
      <c r="U195" s="345">
        <f t="shared" si="76"/>
        <v>11028.75</v>
      </c>
      <c r="V195" s="345">
        <f t="shared" si="77"/>
        <v>121633326.5625</v>
      </c>
      <c r="X195" s="371">
        <f t="shared" si="71"/>
        <v>17.160944053766855</v>
      </c>
      <c r="Y195" s="372">
        <f t="shared" si="72"/>
        <v>-27.77859438680834</v>
      </c>
      <c r="AA195" s="371">
        <f t="shared" si="73"/>
        <v>35.869015342935128</v>
      </c>
      <c r="AB195" s="372">
        <f t="shared" si="74"/>
        <v>-112.11045721837627</v>
      </c>
      <c r="AD195">
        <f t="shared" si="78"/>
        <v>0</v>
      </c>
      <c r="AE195">
        <f t="shared" si="81"/>
        <v>0</v>
      </c>
    </row>
    <row r="196" spans="1:31" x14ac:dyDescent="0.2">
      <c r="A196" s="373">
        <v>11092.5</v>
      </c>
      <c r="B196" s="390">
        <f t="shared" si="75"/>
        <v>11.092499999999999</v>
      </c>
      <c r="C196" s="363">
        <f t="shared" si="54"/>
        <v>15.685975531087005</v>
      </c>
      <c r="D196" s="364">
        <f t="shared" si="55"/>
        <v>1.5070018494012023</v>
      </c>
      <c r="E196" s="364">
        <f t="shared" si="56"/>
        <v>1.0034913519487494</v>
      </c>
      <c r="F196" s="365">
        <f t="shared" si="57"/>
        <v>8.3441286804606996E-2</v>
      </c>
      <c r="G196" s="364">
        <f t="shared" si="58"/>
        <v>1.0530543599006514</v>
      </c>
      <c r="H196" s="365">
        <f t="shared" si="59"/>
        <v>-0.31877964707910866</v>
      </c>
      <c r="I196" s="363">
        <f t="shared" si="60"/>
        <v>46013.750600934029</v>
      </c>
      <c r="J196" s="366">
        <f t="shared" si="61"/>
        <v>1.5707745941609117</v>
      </c>
      <c r="K196" s="374">
        <f t="shared" si="82"/>
        <v>14.271926420867922</v>
      </c>
      <c r="L196" s="375">
        <f t="shared" si="83"/>
        <v>1.5006712414441055</v>
      </c>
      <c r="M196" s="363">
        <f t="shared" si="64"/>
        <v>1.0934563839387512</v>
      </c>
      <c r="N196" s="366">
        <f t="shared" si="65"/>
        <v>0.41644879864976153</v>
      </c>
      <c r="O196" s="367">
        <f t="shared" si="66"/>
        <v>1.0159934469843206</v>
      </c>
      <c r="P196" s="368">
        <f t="shared" si="67"/>
        <v>0.2171868873551524</v>
      </c>
      <c r="Q196" s="369">
        <f t="shared" si="68"/>
        <v>-4.5258441759863093</v>
      </c>
      <c r="R196" s="370">
        <f t="shared" si="69"/>
        <v>-140.15001744784968</v>
      </c>
      <c r="S196" s="372">
        <f t="shared" si="70"/>
        <v>39.849982552150323</v>
      </c>
      <c r="U196" s="345">
        <f t="shared" si="76"/>
        <v>11092.5</v>
      </c>
      <c r="V196" s="345">
        <f t="shared" si="77"/>
        <v>123043556.25</v>
      </c>
      <c r="X196" s="371">
        <f t="shared" si="71"/>
        <v>17.152544318656975</v>
      </c>
      <c r="Y196" s="372">
        <f t="shared" si="72"/>
        <v>-27.877384818169279</v>
      </c>
      <c r="AA196" s="371">
        <f t="shared" si="73"/>
        <v>35.822836773190716</v>
      </c>
      <c r="AB196" s="372">
        <f t="shared" si="74"/>
        <v>-112.27263262968039</v>
      </c>
      <c r="AD196">
        <f t="shared" si="78"/>
        <v>0</v>
      </c>
      <c r="AE196">
        <f t="shared" si="81"/>
        <v>0</v>
      </c>
    </row>
    <row r="197" spans="1:31" x14ac:dyDescent="0.2">
      <c r="A197" s="373">
        <v>11156.25</v>
      </c>
      <c r="B197" s="390">
        <f t="shared" si="75"/>
        <v>11.15625</v>
      </c>
      <c r="C197" s="363">
        <f t="shared" si="54"/>
        <v>15.775759472042459</v>
      </c>
      <c r="D197" s="364">
        <f t="shared" si="55"/>
        <v>1.5073654094502213</v>
      </c>
      <c r="E197" s="364">
        <f t="shared" si="56"/>
        <v>1.0035315269324994</v>
      </c>
      <c r="F197" s="365">
        <f t="shared" si="57"/>
        <v>8.3918592552763169E-2</v>
      </c>
      <c r="G197" s="364">
        <f t="shared" si="58"/>
        <v>1.0536503578840959</v>
      </c>
      <c r="H197" s="365">
        <f t="shared" si="59"/>
        <v>-0.32048912862763357</v>
      </c>
      <c r="I197" s="363">
        <f t="shared" si="60"/>
        <v>46278.19744334359</v>
      </c>
      <c r="J197" s="366">
        <f t="shared" si="61"/>
        <v>1.5707747183473917</v>
      </c>
      <c r="K197" s="374">
        <f t="shared" si="82"/>
        <v>14.353547443919737</v>
      </c>
      <c r="L197" s="375">
        <f t="shared" si="83"/>
        <v>1.5010706550089381</v>
      </c>
      <c r="M197" s="363">
        <f t="shared" si="64"/>
        <v>1.0944871585409202</v>
      </c>
      <c r="N197" s="366">
        <f t="shared" si="65"/>
        <v>0.4185729007504746</v>
      </c>
      <c r="O197" s="367">
        <f t="shared" si="66"/>
        <v>1.0161766962067111</v>
      </c>
      <c r="P197" s="368">
        <f t="shared" si="67"/>
        <v>0.2184152359685691</v>
      </c>
      <c r="Q197" s="369">
        <f t="shared" si="68"/>
        <v>-4.5801503204088005</v>
      </c>
      <c r="R197" s="370">
        <f t="shared" si="69"/>
        <v>-140.41065005829637</v>
      </c>
      <c r="S197" s="372">
        <f t="shared" si="70"/>
        <v>39.589349941703631</v>
      </c>
      <c r="U197" s="345">
        <f t="shared" si="76"/>
        <v>11156.25</v>
      </c>
      <c r="V197" s="345">
        <f t="shared" si="77"/>
        <v>124461914.0625</v>
      </c>
      <c r="X197" s="371">
        <f t="shared" si="71"/>
        <v>17.144117214103126</v>
      </c>
      <c r="Y197" s="372">
        <f t="shared" si="72"/>
        <v>-27.976209307723924</v>
      </c>
      <c r="AA197" s="371">
        <f t="shared" si="73"/>
        <v>35.776957733322078</v>
      </c>
      <c r="AB197" s="372">
        <f t="shared" si="74"/>
        <v>-112.43444075057246</v>
      </c>
      <c r="AD197">
        <f t="shared" si="78"/>
        <v>0</v>
      </c>
      <c r="AE197">
        <f t="shared" si="81"/>
        <v>0</v>
      </c>
    </row>
    <row r="198" spans="1:31" x14ac:dyDescent="0.2">
      <c r="A198" s="373">
        <v>11220</v>
      </c>
      <c r="B198" s="390">
        <f t="shared" si="75"/>
        <v>11.22</v>
      </c>
      <c r="C198" s="363">
        <f t="shared" si="54"/>
        <v>15.865545474572878</v>
      </c>
      <c r="D198" s="364">
        <f t="shared" si="55"/>
        <v>1.5077248546416462</v>
      </c>
      <c r="E198" s="364">
        <f t="shared" si="56"/>
        <v>1.0035719305232469</v>
      </c>
      <c r="F198" s="365">
        <f t="shared" si="57"/>
        <v>8.4395859977189361E-2</v>
      </c>
      <c r="G198" s="364">
        <f t="shared" si="58"/>
        <v>1.0542494314919353</v>
      </c>
      <c r="H198" s="365">
        <f t="shared" si="59"/>
        <v>-0.32219667234744337</v>
      </c>
      <c r="I198" s="363">
        <f t="shared" si="60"/>
        <v>46542.644285753857</v>
      </c>
      <c r="J198" s="366">
        <f t="shared" si="61"/>
        <v>1.5707748411226616</v>
      </c>
      <c r="K198" s="374">
        <f t="shared" si="82"/>
        <v>14.435170730914983</v>
      </c>
      <c r="L198" s="375">
        <f t="shared" si="83"/>
        <v>1.5014655516895272</v>
      </c>
      <c r="M198" s="363">
        <f t="shared" si="64"/>
        <v>1.0955228619553981</v>
      </c>
      <c r="N198" s="366">
        <f t="shared" si="65"/>
        <v>0.42069299616448907</v>
      </c>
      <c r="O198" s="367">
        <f t="shared" si="66"/>
        <v>1.0163609704209065</v>
      </c>
      <c r="P198" s="368">
        <f t="shared" si="67"/>
        <v>0.2196432513060414</v>
      </c>
      <c r="Q198" s="369">
        <f t="shared" si="68"/>
        <v>-4.6341874584446394</v>
      </c>
      <c r="R198" s="370">
        <f t="shared" si="69"/>
        <v>-140.67094812715507</v>
      </c>
      <c r="S198" s="372">
        <f t="shared" si="70"/>
        <v>39.329051872844929</v>
      </c>
      <c r="U198" s="345">
        <f t="shared" si="76"/>
        <v>11220</v>
      </c>
      <c r="V198" s="345">
        <f t="shared" si="77"/>
        <v>125888400</v>
      </c>
      <c r="X198" s="371">
        <f t="shared" si="71"/>
        <v>17.135662852055937</v>
      </c>
      <c r="Y198" s="372">
        <f t="shared" si="72"/>
        <v>-28.075062948588268</v>
      </c>
      <c r="AA198" s="371">
        <f t="shared" si="73"/>
        <v>35.731374957333422</v>
      </c>
      <c r="AB198" s="372">
        <f t="shared" si="74"/>
        <v>-112.5958851785668</v>
      </c>
      <c r="AD198">
        <f t="shared" si="78"/>
        <v>0</v>
      </c>
      <c r="AE198">
        <f t="shared" si="81"/>
        <v>0</v>
      </c>
    </row>
    <row r="199" spans="1:31" x14ac:dyDescent="0.2">
      <c r="A199" s="373">
        <v>11285.5</v>
      </c>
      <c r="B199" s="390">
        <f t="shared" si="75"/>
        <v>11.285500000000001</v>
      </c>
      <c r="C199" s="363">
        <f t="shared" si="54"/>
        <v>15.957798301562581</v>
      </c>
      <c r="D199" s="364">
        <f t="shared" si="55"/>
        <v>1.508089954020317</v>
      </c>
      <c r="E199" s="364">
        <f t="shared" si="56"/>
        <v>1.0036136813095111</v>
      </c>
      <c r="F199" s="365">
        <f t="shared" si="57"/>
        <v>8.4886188720464384E-2</v>
      </c>
      <c r="G199" s="364">
        <f t="shared" si="58"/>
        <v>1.0548681481762769</v>
      </c>
      <c r="H199" s="365">
        <f t="shared" si="59"/>
        <v>-0.32394906447822591</v>
      </c>
      <c r="I199" s="363">
        <f t="shared" si="60"/>
        <v>46814.350453250619</v>
      </c>
      <c r="J199" s="366">
        <f t="shared" si="61"/>
        <v>1.5707749658235193</v>
      </c>
      <c r="K199" s="374">
        <f t="shared" si="82"/>
        <v>14.519036975045815</v>
      </c>
      <c r="L199" s="375">
        <f t="shared" si="83"/>
        <v>1.5018666640381162</v>
      </c>
      <c r="M199" s="363">
        <f t="shared" si="64"/>
        <v>1.0965921153851719</v>
      </c>
      <c r="N199" s="366">
        <f t="shared" si="65"/>
        <v>0.42286710902874591</v>
      </c>
      <c r="O199" s="367">
        <f t="shared" si="66"/>
        <v>1.0165513702878977</v>
      </c>
      <c r="P199" s="368">
        <f t="shared" si="67"/>
        <v>0.22090462797667404</v>
      </c>
      <c r="Q199" s="369">
        <f t="shared" si="68"/>
        <v>-4.6894310405950455</v>
      </c>
      <c r="R199" s="370">
        <f t="shared" si="69"/>
        <v>-140.93804183760179</v>
      </c>
      <c r="S199" s="372">
        <f t="shared" si="70"/>
        <v>39.061958162398213</v>
      </c>
      <c r="U199" s="345">
        <f t="shared" si="76"/>
        <v>11285.5</v>
      </c>
      <c r="V199" s="345">
        <f t="shared" si="77"/>
        <v>127362510.25</v>
      </c>
      <c r="X199" s="371">
        <f t="shared" si="71"/>
        <v>17.126948139674816</v>
      </c>
      <c r="Y199" s="372">
        <f t="shared" si="72"/>
        <v>-28.176655540159484</v>
      </c>
      <c r="AA199" s="371">
        <f t="shared" si="73"/>
        <v>35.684846087564139</v>
      </c>
      <c r="AB199" s="372">
        <f t="shared" si="74"/>
        <v>-112.76138629744229</v>
      </c>
      <c r="AD199">
        <f t="shared" si="78"/>
        <v>0</v>
      </c>
      <c r="AE199">
        <f t="shared" si="81"/>
        <v>0</v>
      </c>
    </row>
    <row r="200" spans="1:31" x14ac:dyDescent="0.2">
      <c r="A200" s="373">
        <v>11351</v>
      </c>
      <c r="B200" s="390">
        <f t="shared" si="75"/>
        <v>11.351000000000001</v>
      </c>
      <c r="C200" s="363">
        <f t="shared" si="54"/>
        <v>16.050053231234848</v>
      </c>
      <c r="D200" s="364">
        <f t="shared" si="55"/>
        <v>1.5084508562994963</v>
      </c>
      <c r="E200" s="364">
        <f t="shared" si="56"/>
        <v>1.0036556733667528</v>
      </c>
      <c r="F200" s="365">
        <f t="shared" si="57"/>
        <v>8.5376476551773661E-2</v>
      </c>
      <c r="G200" s="364">
        <f t="shared" si="58"/>
        <v>1.0554901004286308</v>
      </c>
      <c r="H200" s="365">
        <f t="shared" si="59"/>
        <v>-0.32569939676903237</v>
      </c>
      <c r="I200" s="363">
        <f t="shared" si="60"/>
        <v>47086.056620748095</v>
      </c>
      <c r="J200" s="366">
        <f t="shared" si="61"/>
        <v>1.5707750890852255</v>
      </c>
      <c r="K200" s="374">
        <f t="shared" si="82"/>
        <v>14.60290552832882</v>
      </c>
      <c r="L200" s="375">
        <f t="shared" si="83"/>
        <v>1.5022631690500385</v>
      </c>
      <c r="M200" s="363">
        <f t="shared" si="64"/>
        <v>1.0976665420374865</v>
      </c>
      <c r="N200" s="366">
        <f t="shared" si="65"/>
        <v>0.4250369759680459</v>
      </c>
      <c r="O200" s="367">
        <f t="shared" si="66"/>
        <v>1.0167428512978822</v>
      </c>
      <c r="P200" s="368">
        <f t="shared" si="67"/>
        <v>0.22216564922823603</v>
      </c>
      <c r="Q200" s="369">
        <f t="shared" si="68"/>
        <v>-4.7443972157774725</v>
      </c>
      <c r="R200" s="370">
        <f t="shared" si="69"/>
        <v>-141.20477965680249</v>
      </c>
      <c r="S200" s="372">
        <f t="shared" si="70"/>
        <v>38.795220343197514</v>
      </c>
      <c r="U200" s="345">
        <f t="shared" si="76"/>
        <v>11351</v>
      </c>
      <c r="V200" s="345">
        <f t="shared" si="77"/>
        <v>128845201</v>
      </c>
      <c r="X200" s="371">
        <f t="shared" si="71"/>
        <v>17.118204900403189</v>
      </c>
      <c r="Y200" s="372">
        <f t="shared" si="72"/>
        <v>-28.278268756639054</v>
      </c>
      <c r="AA200" s="371">
        <f t="shared" si="73"/>
        <v>35.638623151653341</v>
      </c>
      <c r="AB200" s="372">
        <f t="shared" si="74"/>
        <v>-112.92651090016344</v>
      </c>
      <c r="AD200">
        <f t="shared" si="78"/>
        <v>0</v>
      </c>
      <c r="AE200">
        <f t="shared" si="81"/>
        <v>0</v>
      </c>
    </row>
    <row r="201" spans="1:31" x14ac:dyDescent="0.2">
      <c r="A201" s="373">
        <v>11416.5</v>
      </c>
      <c r="B201" s="390">
        <f t="shared" si="75"/>
        <v>11.416499999999999</v>
      </c>
      <c r="C201" s="363">
        <f t="shared" si="54"/>
        <v>16.142310227538555</v>
      </c>
      <c r="D201" s="364">
        <f t="shared" si="55"/>
        <v>1.5088076333465046</v>
      </c>
      <c r="E201" s="364">
        <f t="shared" si="56"/>
        <v>1.0036979066646892</v>
      </c>
      <c r="F201" s="365">
        <f t="shared" si="57"/>
        <v>8.5866723240554152E-2</v>
      </c>
      <c r="G201" s="364">
        <f t="shared" si="58"/>
        <v>1.0561152825326641</v>
      </c>
      <c r="H201" s="365">
        <f t="shared" si="59"/>
        <v>-0.32744766214366378</v>
      </c>
      <c r="I201" s="363">
        <f t="shared" si="60"/>
        <v>47357.762788246284</v>
      </c>
      <c r="J201" s="366">
        <f t="shared" si="61"/>
        <v>1.5707752109325501</v>
      </c>
      <c r="K201" s="374">
        <f t="shared" si="82"/>
        <v>14.686776351204891</v>
      </c>
      <c r="L201" s="375">
        <f t="shared" si="83"/>
        <v>1.5026551455319979</v>
      </c>
      <c r="M201" s="363">
        <f t="shared" si="64"/>
        <v>1.0987461267361842</v>
      </c>
      <c r="N201" s="366">
        <f t="shared" si="65"/>
        <v>0.4272025890353936</v>
      </c>
      <c r="O201" s="367">
        <f t="shared" si="66"/>
        <v>1.0169354129938759</v>
      </c>
      <c r="P201" s="368">
        <f t="shared" si="67"/>
        <v>0.22342631324509921</v>
      </c>
      <c r="Q201" s="369">
        <f t="shared" si="68"/>
        <v>-4.7990892253469983</v>
      </c>
      <c r="R201" s="370">
        <f t="shared" si="69"/>
        <v>-141.4711602369959</v>
      </c>
      <c r="S201" s="372">
        <f t="shared" si="70"/>
        <v>38.5288397630041</v>
      </c>
      <c r="U201" s="345">
        <f t="shared" si="76"/>
        <v>11416.5</v>
      </c>
      <c r="V201" s="345">
        <f t="shared" si="77"/>
        <v>130336472.25</v>
      </c>
      <c r="X201" s="371">
        <f t="shared" si="71"/>
        <v>17.109433263603513</v>
      </c>
      <c r="Y201" s="372">
        <f t="shared" si="72"/>
        <v>-28.379897628825383</v>
      </c>
      <c r="AA201" s="371">
        <f t="shared" si="73"/>
        <v>35.592702778883492</v>
      </c>
      <c r="AB201" s="372">
        <f t="shared" si="74"/>
        <v>-113.09126260817052</v>
      </c>
      <c r="AD201">
        <f t="shared" si="78"/>
        <v>0</v>
      </c>
      <c r="AE201">
        <f t="shared" si="81"/>
        <v>0</v>
      </c>
    </row>
    <row r="202" spans="1:31" x14ac:dyDescent="0.2">
      <c r="A202" s="373">
        <v>11482</v>
      </c>
      <c r="B202" s="390">
        <f t="shared" si="75"/>
        <v>11.481999999999999</v>
      </c>
      <c r="C202" s="363">
        <f t="shared" si="54"/>
        <v>16.234569255241254</v>
      </c>
      <c r="D202" s="364">
        <f t="shared" si="55"/>
        <v>1.509160355399267</v>
      </c>
      <c r="E202" s="364">
        <f t="shared" si="56"/>
        <v>1.0037403811728693</v>
      </c>
      <c r="F202" s="365">
        <f t="shared" si="57"/>
        <v>8.6356928556360554E-2</v>
      </c>
      <c r="G202" s="364">
        <f t="shared" si="58"/>
        <v>1.056743688755921</v>
      </c>
      <c r="H202" s="365">
        <f t="shared" si="59"/>
        <v>-0.329193853593162</v>
      </c>
      <c r="I202" s="363">
        <f t="shared" si="60"/>
        <v>47629.468955745164</v>
      </c>
      <c r="J202" s="366">
        <f t="shared" si="61"/>
        <v>1.570775331389699</v>
      </c>
      <c r="K202" s="374">
        <f t="shared" si="82"/>
        <v>14.77064940501236</v>
      </c>
      <c r="L202" s="375">
        <f t="shared" si="83"/>
        <v>1.5030426705063653</v>
      </c>
      <c r="M202" s="363">
        <f t="shared" si="64"/>
        <v>1.0998308542919806</v>
      </c>
      <c r="N202" s="366">
        <f t="shared" si="65"/>
        <v>0.42936394047452131</v>
      </c>
      <c r="O202" s="367">
        <f t="shared" si="66"/>
        <v>1.0171290549166827</v>
      </c>
      <c r="P202" s="368">
        <f t="shared" si="67"/>
        <v>0.22468661821566274</v>
      </c>
      <c r="Q202" s="369">
        <f t="shared" si="68"/>
        <v>-4.8535102527505085</v>
      </c>
      <c r="R202" s="370">
        <f t="shared" si="69"/>
        <v>-141.73718225427012</v>
      </c>
      <c r="S202" s="372">
        <f t="shared" si="70"/>
        <v>38.262817745729876</v>
      </c>
      <c r="U202" s="345">
        <f t="shared" si="76"/>
        <v>11482</v>
      </c>
      <c r="V202" s="345">
        <f t="shared" si="77"/>
        <v>131836324</v>
      </c>
      <c r="X202" s="371">
        <f t="shared" si="71"/>
        <v>17.100633361101458</v>
      </c>
      <c r="Y202" s="372">
        <f t="shared" si="72"/>
        <v>-28.48153730064714</v>
      </c>
      <c r="AA202" s="371">
        <f t="shared" si="73"/>
        <v>35.547081653982033</v>
      </c>
      <c r="AB202" s="372">
        <f t="shared" si="74"/>
        <v>-113.25564495362299</v>
      </c>
      <c r="AD202">
        <f t="shared" si="78"/>
        <v>0</v>
      </c>
      <c r="AE202">
        <f t="shared" si="81"/>
        <v>0</v>
      </c>
    </row>
    <row r="203" spans="1:31" x14ac:dyDescent="0.2">
      <c r="A203" s="373">
        <v>11548.75</v>
      </c>
      <c r="B203" s="390">
        <f t="shared" si="75"/>
        <v>11.54875</v>
      </c>
      <c r="C203" s="363">
        <f t="shared" si="54"/>
        <v>16.328591005680753</v>
      </c>
      <c r="D203" s="364">
        <f t="shared" si="55"/>
        <v>1.5095157080520347</v>
      </c>
      <c r="E203" s="364">
        <f t="shared" si="56"/>
        <v>1.0037839143906047</v>
      </c>
      <c r="F203" s="365">
        <f t="shared" si="57"/>
        <v>8.6856446132127826E-2</v>
      </c>
      <c r="G203" s="364">
        <f t="shared" si="58"/>
        <v>1.0573873985125228</v>
      </c>
      <c r="H203" s="365">
        <f t="shared" si="59"/>
        <v>-0.33097122844925847</v>
      </c>
      <c r="I203" s="363">
        <f t="shared" si="60"/>
        <v>47906.360355448931</v>
      </c>
      <c r="J203" s="366">
        <f t="shared" si="61"/>
        <v>1.570775452739914</v>
      </c>
      <c r="K203" s="374">
        <f t="shared" si="82"/>
        <v>14.856125345696624</v>
      </c>
      <c r="L203" s="375">
        <f t="shared" si="83"/>
        <v>1.5034330891900931</v>
      </c>
      <c r="M203" s="363">
        <f t="shared" si="64"/>
        <v>1.1009415580290172</v>
      </c>
      <c r="N203" s="366">
        <f t="shared" si="65"/>
        <v>0.43156214684801408</v>
      </c>
      <c r="O203" s="367">
        <f t="shared" si="66"/>
        <v>1.0173275031643556</v>
      </c>
      <c r="P203" s="368">
        <f t="shared" si="67"/>
        <v>0.225970603546638</v>
      </c>
      <c r="Q203" s="369">
        <f t="shared" si="68"/>
        <v>-4.9086942978919188</v>
      </c>
      <c r="R203" s="370">
        <f t="shared" si="69"/>
        <v>-142.00791078896077</v>
      </c>
      <c r="S203" s="372">
        <f t="shared" si="70"/>
        <v>37.992089211039229</v>
      </c>
      <c r="U203" s="345">
        <f t="shared" si="76"/>
        <v>11548.75</v>
      </c>
      <c r="V203" s="345">
        <f t="shared" si="77"/>
        <v>133373626.5625</v>
      </c>
      <c r="X203" s="371">
        <f t="shared" si="71"/>
        <v>17.091636580486554</v>
      </c>
      <c r="Y203" s="372">
        <f t="shared" si="72"/>
        <v>-28.585122858499897</v>
      </c>
      <c r="AA203" s="371">
        <f t="shared" si="73"/>
        <v>35.500894389455524</v>
      </c>
      <c r="AB203" s="372">
        <f t="shared" si="74"/>
        <v>-113.42278793046086</v>
      </c>
      <c r="AD203">
        <f t="shared" si="78"/>
        <v>0</v>
      </c>
      <c r="AE203">
        <f t="shared" si="81"/>
        <v>0</v>
      </c>
    </row>
    <row r="204" spans="1:31" x14ac:dyDescent="0.2">
      <c r="A204" s="373">
        <v>11615.5</v>
      </c>
      <c r="B204" s="390">
        <f t="shared" si="75"/>
        <v>11.615500000000001</v>
      </c>
      <c r="C204" s="363">
        <f t="shared" si="54"/>
        <v>16.422614794411878</v>
      </c>
      <c r="D204" s="364">
        <f t="shared" si="55"/>
        <v>1.5098669917739538</v>
      </c>
      <c r="E204" s="364">
        <f t="shared" si="56"/>
        <v>1.0038276980485423</v>
      </c>
      <c r="F204" s="365">
        <f t="shared" si="57"/>
        <v>8.7355920257890907E-2</v>
      </c>
      <c r="G204" s="364">
        <f t="shared" si="58"/>
        <v>1.0580344445501169</v>
      </c>
      <c r="H204" s="365">
        <f t="shared" si="59"/>
        <v>-0.33274643498340933</v>
      </c>
      <c r="I204" s="363">
        <f t="shared" si="60"/>
        <v>48183.251755153389</v>
      </c>
      <c r="J204" s="366">
        <f t="shared" si="61"/>
        <v>1.5707755726954191</v>
      </c>
      <c r="K204" s="374">
        <f t="shared" si="82"/>
        <v>14.941603524942998</v>
      </c>
      <c r="L204" s="375">
        <f t="shared" si="83"/>
        <v>1.5038190409044156</v>
      </c>
      <c r="M204" s="363">
        <f t="shared" si="64"/>
        <v>1.1020575708999576</v>
      </c>
      <c r="N204" s="366">
        <f t="shared" si="65"/>
        <v>0.43375591171987476</v>
      </c>
      <c r="O204" s="367">
        <f t="shared" si="66"/>
        <v>1.0175270722924372</v>
      </c>
      <c r="P204" s="368">
        <f t="shared" si="67"/>
        <v>0.22725421221060557</v>
      </c>
      <c r="Q204" s="369">
        <f t="shared" si="68"/>
        <v>-4.9636034168232399</v>
      </c>
      <c r="R204" s="370">
        <f t="shared" si="69"/>
        <v>-142.27826424274704</v>
      </c>
      <c r="S204" s="372">
        <f t="shared" si="70"/>
        <v>37.721735757252958</v>
      </c>
      <c r="U204" s="345">
        <f t="shared" si="76"/>
        <v>11615.5</v>
      </c>
      <c r="V204" s="345">
        <f t="shared" si="77"/>
        <v>134919840.25</v>
      </c>
      <c r="X204" s="371">
        <f t="shared" si="71"/>
        <v>17.082610728822008</v>
      </c>
      <c r="Y204" s="372">
        <f t="shared" si="72"/>
        <v>-28.688709795637585</v>
      </c>
      <c r="AA204" s="371">
        <f t="shared" si="73"/>
        <v>35.455011122188751</v>
      </c>
      <c r="AB204" s="372">
        <f t="shared" si="74"/>
        <v>-113.58955444710948</v>
      </c>
      <c r="AD204">
        <f t="shared" si="78"/>
        <v>0</v>
      </c>
      <c r="AE204">
        <f t="shared" si="81"/>
        <v>0</v>
      </c>
    </row>
    <row r="205" spans="1:31" x14ac:dyDescent="0.2">
      <c r="A205" s="373">
        <v>11682.25</v>
      </c>
      <c r="B205" s="390">
        <f t="shared" si="75"/>
        <v>11.68225</v>
      </c>
      <c r="C205" s="363">
        <f t="shared" ref="C205:C268" si="84">SQRT(1+(A205/pole1)^2)</f>
        <v>16.516640586624668</v>
      </c>
      <c r="D205" s="364">
        <f t="shared" ref="D205:D268" si="85">ATAN(A205/pole1)</f>
        <v>1.5102142759683039</v>
      </c>
      <c r="E205" s="364">
        <f t="shared" ref="E205:E268" si="86">SQRT(1+(A205/Zero1)^2)</f>
        <v>1.0038717321139135</v>
      </c>
      <c r="F205" s="365">
        <f t="shared" ref="F205:F268" si="87">ATAN(A205/Zero1)</f>
        <v>8.7855350690139361E-2</v>
      </c>
      <c r="G205" s="364">
        <f t="shared" ref="G205:G268" si="88">IF(VIN_nom&gt;Vout, 1, SQRT(1+(A205/z_RHP)^2))</f>
        <v>1.0586848207515074</v>
      </c>
      <c r="H205" s="365">
        <f t="shared" ref="H205:H268" si="89">IF(VIN_nom&gt;Vout, 0, -ATAN(A205/z_RHP))</f>
        <v>-0.33451946599297916</v>
      </c>
      <c r="I205" s="363">
        <f t="shared" ref="I205:I268" si="90">SQRT(1+(A205/Pole2)^2)</f>
        <v>48460.143154858539</v>
      </c>
      <c r="J205" s="366">
        <f t="shared" ref="J205:J268" si="91">ATAN(A205/Pole2)</f>
        <v>1.5707756912801216</v>
      </c>
      <c r="K205" s="374">
        <f t="shared" si="82"/>
        <v>15.027083904550821</v>
      </c>
      <c r="L205" s="375">
        <f t="shared" si="83"/>
        <v>1.504200601763366</v>
      </c>
      <c r="M205" s="363">
        <f t="shared" ref="M205:M268" si="92">SQRT(1+(A205/pole4)^2)</f>
        <v>1.1031788767921062</v>
      </c>
      <c r="N205" s="366">
        <f t="shared" ref="N205:N268" si="93">ATAN(A205/pole4)</f>
        <v>0.43594522748627973</v>
      </c>
      <c r="O205" s="367">
        <f t="shared" ref="O205:O268" si="94">SQRT((1-(V205/pterm2))^2+(A205/pterm1)^2)</f>
        <v>1.0177277618078988</v>
      </c>
      <c r="P205" s="368">
        <f t="shared" ref="P205:P268" si="95">IF((ATAN((A205/pterm1)/(1-A205^2/pterm2))&gt;0),ATAN((A205/pterm1)/(1-A205^2/pterm2)),PI()+ATAN((A205/pterm1)/(1-A205^2/pterm2)))</f>
        <v>0.22853744230326692</v>
      </c>
      <c r="Q205" s="369">
        <f t="shared" ref="Q205:Q268" si="96">20*LOG10(((E205*K205*G205)/(C205*I205*O205*M205))*Adc)</f>
        <v>-5.0182408016242865</v>
      </c>
      <c r="R205" s="370">
        <f t="shared" ref="R205:R268" si="97">((F205+L205+H205)-(D205+J205+P205+N205))*radconv</f>
        <v>-142.54824128899722</v>
      </c>
      <c r="S205" s="372">
        <f t="shared" ref="S205:S268" si="98">IF(R205&gt;0,R205,R205+180)</f>
        <v>37.451758711002782</v>
      </c>
      <c r="U205" s="345">
        <f t="shared" si="76"/>
        <v>11682.25</v>
      </c>
      <c r="V205" s="345">
        <f t="shared" si="77"/>
        <v>136474965.0625</v>
      </c>
      <c r="X205" s="371">
        <f t="shared" ref="X205:X268" si="99">20*LOG10((K205/(I205*M205))*AEA)</f>
        <v>17.073555952865995</v>
      </c>
      <c r="Y205" s="372">
        <f t="shared" ref="Y205:Y268" si="100">(L205-(J205+N205))*radconv</f>
        <v>-28.792293316750129</v>
      </c>
      <c r="AA205" s="371">
        <f t="shared" ref="AA205:AA268" si="101">20*LOG10((E205*G205/(C205*O205))*Acs*Am)</f>
        <v>35.40942851334372</v>
      </c>
      <c r="AB205" s="372">
        <f t="shared" ref="AB205:AB268" si="102">(F205+H205-(D205+P205))*radconv</f>
        <v>-113.75594797224709</v>
      </c>
      <c r="AD205">
        <f t="shared" si="78"/>
        <v>0</v>
      </c>
      <c r="AE205">
        <f t="shared" si="81"/>
        <v>0</v>
      </c>
    </row>
    <row r="206" spans="1:31" x14ac:dyDescent="0.2">
      <c r="A206" s="373">
        <v>11749</v>
      </c>
      <c r="B206" s="390">
        <f t="shared" ref="B206:B269" si="103">A206/1000</f>
        <v>11.749000000000001</v>
      </c>
      <c r="C206" s="363">
        <f t="shared" si="84"/>
        <v>16.610668348296599</v>
      </c>
      <c r="D206" s="364">
        <f t="shared" si="85"/>
        <v>1.5105576284707942</v>
      </c>
      <c r="E206" s="364">
        <f t="shared" si="86"/>
        <v>1.0039160165537682</v>
      </c>
      <c r="F206" s="365">
        <f t="shared" si="87"/>
        <v>8.8354737185492499E-2</v>
      </c>
      <c r="G206" s="364">
        <f t="shared" si="88"/>
        <v>1.0593385209830763</v>
      </c>
      <c r="H206" s="365">
        <f t="shared" si="89"/>
        <v>-0.33629031434768741</v>
      </c>
      <c r="I206" s="363">
        <f t="shared" si="90"/>
        <v>48737.03455456435</v>
      </c>
      <c r="J206" s="366">
        <f t="shared" si="91"/>
        <v>1.5707758085173853</v>
      </c>
      <c r="K206" s="374">
        <f t="shared" si="82"/>
        <v>15.112566447182742</v>
      </c>
      <c r="L206" s="375">
        <f t="shared" si="83"/>
        <v>1.5045778461640364</v>
      </c>
      <c r="M206" s="363">
        <f t="shared" si="92"/>
        <v>1.1043054595819466</v>
      </c>
      <c r="N206" s="366">
        <f t="shared" si="93"/>
        <v>0.43813008674481474</v>
      </c>
      <c r="O206" s="367">
        <f t="shared" si="94"/>
        <v>1.0179295712153578</v>
      </c>
      <c r="P206" s="368">
        <f t="shared" si="95"/>
        <v>0.2298202919247361</v>
      </c>
      <c r="Q206" s="369">
        <f t="shared" si="96"/>
        <v>-5.0726095875061938</v>
      </c>
      <c r="R206" s="370">
        <f t="shared" si="97"/>
        <v>-142.81784062553749</v>
      </c>
      <c r="S206" s="372">
        <f t="shared" si="98"/>
        <v>37.182159374462515</v>
      </c>
      <c r="U206" s="345">
        <f t="shared" ref="U206:U269" si="104">IF(Q206&lt;0,A206,1000000000)</f>
        <v>11749</v>
      </c>
      <c r="V206" s="345">
        <f t="shared" ref="V206:V269" si="105">A206^2</f>
        <v>138039001</v>
      </c>
      <c r="X206" s="371">
        <f t="shared" si="99"/>
        <v>17.0644724016048</v>
      </c>
      <c r="Y206" s="372">
        <f t="shared" si="100"/>
        <v>-28.895868736409671</v>
      </c>
      <c r="AA206" s="371">
        <f t="shared" si="101"/>
        <v>35.364143278723013</v>
      </c>
      <c r="AB206" s="372">
        <f t="shared" si="102"/>
        <v>-113.92197188912779</v>
      </c>
      <c r="AD206">
        <f t="shared" ref="AD206:AD269" si="106">SUM((Q207&lt;0)*(Q206&gt;0))*A206</f>
        <v>0</v>
      </c>
      <c r="AE206">
        <f t="shared" si="81"/>
        <v>0</v>
      </c>
    </row>
    <row r="207" spans="1:31" x14ac:dyDescent="0.2">
      <c r="A207" s="373">
        <v>11817.5</v>
      </c>
      <c r="B207" s="390">
        <f t="shared" si="103"/>
        <v>11.817500000000001</v>
      </c>
      <c r="C207" s="363">
        <f t="shared" si="84"/>
        <v>16.707163269991383</v>
      </c>
      <c r="D207" s="364">
        <f t="shared" si="85"/>
        <v>1.5109059645990397</v>
      </c>
      <c r="E207" s="364">
        <f t="shared" si="86"/>
        <v>1.0039617222808688</v>
      </c>
      <c r="F207" s="365">
        <f t="shared" si="87"/>
        <v>8.886717027572677E-2</v>
      </c>
      <c r="G207" s="364">
        <f t="shared" si="88"/>
        <v>1.0600128088660621</v>
      </c>
      <c r="H207" s="365">
        <f t="shared" si="89"/>
        <v>-0.33810531279697026</v>
      </c>
      <c r="I207" s="363">
        <f t="shared" si="90"/>
        <v>49021.185279356781</v>
      </c>
      <c r="J207" s="366">
        <f t="shared" si="91"/>
        <v>1.57077592745134</v>
      </c>
      <c r="K207" s="374">
        <f t="shared" si="82"/>
        <v>15.20029231572267</v>
      </c>
      <c r="L207" s="375">
        <f t="shared" si="83"/>
        <v>1.5049605694401553</v>
      </c>
      <c r="M207" s="363">
        <f t="shared" si="92"/>
        <v>1.1054670475596622</v>
      </c>
      <c r="N207" s="366">
        <f t="shared" si="93"/>
        <v>0.44036758611042903</v>
      </c>
      <c r="O207" s="367">
        <f t="shared" si="94"/>
        <v>1.0181378353017179</v>
      </c>
      <c r="P207" s="368">
        <f t="shared" si="95"/>
        <v>0.23113637675567802</v>
      </c>
      <c r="Q207" s="369">
        <f t="shared" si="96"/>
        <v>-5.1281277475901241</v>
      </c>
      <c r="R207" s="370">
        <f t="shared" si="97"/>
        <v>-143.09411407604469</v>
      </c>
      <c r="S207" s="372">
        <f t="shared" si="98"/>
        <v>36.90588592395531</v>
      </c>
      <c r="U207" s="345">
        <f t="shared" si="104"/>
        <v>11817.5</v>
      </c>
      <c r="V207" s="345">
        <f t="shared" si="105"/>
        <v>139653306.25</v>
      </c>
      <c r="X207" s="371">
        <f t="shared" si="99"/>
        <v>17.055120946494785</v>
      </c>
      <c r="Y207" s="372">
        <f t="shared" si="100"/>
        <v>-29.002146392814616</v>
      </c>
      <c r="AA207" s="371">
        <f t="shared" si="101"/>
        <v>35.317976573749092</v>
      </c>
      <c r="AB207" s="372">
        <f t="shared" si="102"/>
        <v>-114.09196768323002</v>
      </c>
      <c r="AD207">
        <f t="shared" si="106"/>
        <v>0</v>
      </c>
      <c r="AE207">
        <f t="shared" si="81"/>
        <v>0</v>
      </c>
    </row>
    <row r="208" spans="1:31" x14ac:dyDescent="0.2">
      <c r="A208" s="373">
        <v>11886</v>
      </c>
      <c r="B208" s="390">
        <f t="shared" si="103"/>
        <v>11.885999999999999</v>
      </c>
      <c r="C208" s="363">
        <f t="shared" si="84"/>
        <v>16.803660195618242</v>
      </c>
      <c r="D208" s="364">
        <f t="shared" si="85"/>
        <v>1.511250300049173</v>
      </c>
      <c r="E208" s="364">
        <f t="shared" si="86"/>
        <v>1.0040076916118983</v>
      </c>
      <c r="F208" s="365">
        <f t="shared" si="87"/>
        <v>8.9379556576142744E-2</v>
      </c>
      <c r="G208" s="364">
        <f t="shared" si="88"/>
        <v>1.0606905842174055</v>
      </c>
      <c r="H208" s="365">
        <f t="shared" si="89"/>
        <v>-0.33991799766357439</v>
      </c>
      <c r="I208" s="363">
        <f t="shared" si="90"/>
        <v>49305.336004149889</v>
      </c>
      <c r="J208" s="366">
        <f t="shared" si="91"/>
        <v>1.5707760450144421</v>
      </c>
      <c r="K208" s="374">
        <f t="shared" si="82"/>
        <v>15.28802038520505</v>
      </c>
      <c r="L208" s="375">
        <f t="shared" si="83"/>
        <v>1.50533890036805</v>
      </c>
      <c r="M208" s="363">
        <f t="shared" si="92"/>
        <v>1.1066341583167425</v>
      </c>
      <c r="N208" s="366">
        <f t="shared" si="93"/>
        <v>0.44260037708115924</v>
      </c>
      <c r="O208" s="367">
        <f t="shared" si="94"/>
        <v>1.0183472777061064</v>
      </c>
      <c r="P208" s="368">
        <f t="shared" si="95"/>
        <v>0.23245205686437675</v>
      </c>
      <c r="Q208" s="369">
        <f t="shared" si="96"/>
        <v>-5.1833695521600651</v>
      </c>
      <c r="R208" s="370">
        <f t="shared" si="97"/>
        <v>-143.36998705135619</v>
      </c>
      <c r="S208" s="372">
        <f t="shared" si="98"/>
        <v>36.63001294864381</v>
      </c>
      <c r="U208" s="345">
        <f t="shared" si="104"/>
        <v>11886</v>
      </c>
      <c r="V208" s="345">
        <f t="shared" si="105"/>
        <v>141276996</v>
      </c>
      <c r="X208" s="371">
        <f t="shared" si="99"/>
        <v>17.045739512177509</v>
      </c>
      <c r="Y208" s="372">
        <f t="shared" si="100"/>
        <v>-29.108405862535747</v>
      </c>
      <c r="AA208" s="371">
        <f t="shared" si="101"/>
        <v>35.272116203496431</v>
      </c>
      <c r="AB208" s="372">
        <f t="shared" si="102"/>
        <v>-114.26158118882046</v>
      </c>
      <c r="AD208">
        <f t="shared" si="106"/>
        <v>0</v>
      </c>
      <c r="AE208">
        <f t="shared" si="81"/>
        <v>0</v>
      </c>
    </row>
    <row r="209" spans="1:31" x14ac:dyDescent="0.2">
      <c r="A209" s="373">
        <v>11954.5</v>
      </c>
      <c r="B209" s="390">
        <f t="shared" si="103"/>
        <v>11.954499999999999</v>
      </c>
      <c r="C209" s="363">
        <f t="shared" si="84"/>
        <v>16.90015909085087</v>
      </c>
      <c r="D209" s="364">
        <f t="shared" si="85"/>
        <v>1.5115907032697293</v>
      </c>
      <c r="E209" s="364">
        <f t="shared" si="86"/>
        <v>1.0040539245106499</v>
      </c>
      <c r="F209" s="365">
        <f t="shared" si="87"/>
        <v>8.9891895824142143E-2</v>
      </c>
      <c r="G209" s="364">
        <f t="shared" si="88"/>
        <v>1.0613718403559789</v>
      </c>
      <c r="H209" s="365">
        <f t="shared" si="89"/>
        <v>-0.34172836147886143</v>
      </c>
      <c r="I209" s="363">
        <f t="shared" si="90"/>
        <v>49589.486728943681</v>
      </c>
      <c r="J209" s="366">
        <f t="shared" si="91"/>
        <v>1.5707761612302573</v>
      </c>
      <c r="K209" s="374">
        <f t="shared" si="82"/>
        <v>15.375750617956712</v>
      </c>
      <c r="L209" s="375">
        <f t="shared" si="83"/>
        <v>1.5057129140234384</v>
      </c>
      <c r="M209" s="363">
        <f t="shared" si="92"/>
        <v>1.1078067743979005</v>
      </c>
      <c r="N209" s="366">
        <f t="shared" si="93"/>
        <v>0.44482845231108242</v>
      </c>
      <c r="O209" s="367">
        <f t="shared" si="94"/>
        <v>1.0185578978854712</v>
      </c>
      <c r="P209" s="368">
        <f t="shared" si="95"/>
        <v>0.23376733021217203</v>
      </c>
      <c r="Q209" s="369">
        <f t="shared" si="96"/>
        <v>-5.2383382112884691</v>
      </c>
      <c r="R209" s="370">
        <f t="shared" si="97"/>
        <v>-143.64545822254007</v>
      </c>
      <c r="S209" s="372">
        <f t="shared" si="98"/>
        <v>36.354541777459929</v>
      </c>
      <c r="U209" s="345">
        <f t="shared" si="104"/>
        <v>11954.5</v>
      </c>
      <c r="V209" s="345">
        <f t="shared" si="105"/>
        <v>142910070.25</v>
      </c>
      <c r="X209" s="371">
        <f t="shared" si="99"/>
        <v>17.036328266345645</v>
      </c>
      <c r="Y209" s="372">
        <f t="shared" si="100"/>
        <v>-29.214642424511087</v>
      </c>
      <c r="AA209" s="371">
        <f t="shared" si="101"/>
        <v>35.226558790199888</v>
      </c>
      <c r="AB209" s="372">
        <f t="shared" si="102"/>
        <v>-114.43081579802897</v>
      </c>
      <c r="AD209">
        <f t="shared" si="106"/>
        <v>0</v>
      </c>
      <c r="AE209">
        <f t="shared" si="81"/>
        <v>0</v>
      </c>
    </row>
    <row r="210" spans="1:31" x14ac:dyDescent="0.2">
      <c r="A210" s="373">
        <v>12023</v>
      </c>
      <c r="B210" s="390">
        <f t="shared" si="103"/>
        <v>12.023</v>
      </c>
      <c r="C210" s="363">
        <f t="shared" si="84"/>
        <v>16.996659922141841</v>
      </c>
      <c r="D210" s="364">
        <f t="shared" si="85"/>
        <v>1.5119272411584341</v>
      </c>
      <c r="E210" s="364">
        <f t="shared" si="86"/>
        <v>1.0041004209407165</v>
      </c>
      <c r="F210" s="365">
        <f t="shared" si="87"/>
        <v>9.0404187757273644E-2</v>
      </c>
      <c r="G210" s="364">
        <f t="shared" si="88"/>
        <v>1.0620565705835301</v>
      </c>
      <c r="H210" s="365">
        <f t="shared" si="89"/>
        <v>-0.34353639685416287</v>
      </c>
      <c r="I210" s="363">
        <f t="shared" si="90"/>
        <v>49873.637453738127</v>
      </c>
      <c r="J210" s="366">
        <f t="shared" si="91"/>
        <v>1.5707762761218131</v>
      </c>
      <c r="K210" s="374">
        <f t="shared" si="82"/>
        <v>15.463482977158497</v>
      </c>
      <c r="L210" s="375">
        <f t="shared" si="83"/>
        <v>1.5060826837831596</v>
      </c>
      <c r="M210" s="363">
        <f t="shared" si="92"/>
        <v>1.1089848783395129</v>
      </c>
      <c r="N210" s="366">
        <f t="shared" si="93"/>
        <v>0.44705180467255445</v>
      </c>
      <c r="O210" s="367">
        <f t="shared" si="94"/>
        <v>1.0187696952941849</v>
      </c>
      <c r="P210" s="368">
        <f t="shared" si="95"/>
        <v>0.23508219476537362</v>
      </c>
      <c r="Q210" s="369">
        <f t="shared" si="96"/>
        <v>-5.2930368776246901</v>
      </c>
      <c r="R210" s="370">
        <f t="shared" si="97"/>
        <v>-143.92052628648179</v>
      </c>
      <c r="S210" s="372">
        <f t="shared" si="98"/>
        <v>36.079473713518212</v>
      </c>
      <c r="U210" s="345">
        <f t="shared" si="104"/>
        <v>12023</v>
      </c>
      <c r="V210" s="345">
        <f t="shared" si="105"/>
        <v>144552529</v>
      </c>
      <c r="X210" s="371">
        <f t="shared" si="99"/>
        <v>17.026887378742408</v>
      </c>
      <c r="Y210" s="372">
        <f t="shared" si="100"/>
        <v>-29.320851467492894</v>
      </c>
      <c r="AA210" s="371">
        <f t="shared" si="101"/>
        <v>35.1813010114669</v>
      </c>
      <c r="AB210" s="372">
        <f t="shared" si="102"/>
        <v>-114.59967481898885</v>
      </c>
      <c r="AD210">
        <f t="shared" si="106"/>
        <v>0</v>
      </c>
      <c r="AE210">
        <f t="shared" si="81"/>
        <v>0</v>
      </c>
    </row>
    <row r="211" spans="1:31" x14ac:dyDescent="0.2">
      <c r="A211" s="373">
        <v>12093</v>
      </c>
      <c r="B211" s="390">
        <f t="shared" si="103"/>
        <v>12.093</v>
      </c>
      <c r="C211" s="363">
        <f t="shared" si="84"/>
        <v>17.09527587631958</v>
      </c>
      <c r="D211" s="364">
        <f t="shared" si="85"/>
        <v>1.5122672233066927</v>
      </c>
      <c r="E211" s="364">
        <f t="shared" si="86"/>
        <v>1.004148207753325</v>
      </c>
      <c r="F211" s="365">
        <f t="shared" si="87"/>
        <v>9.0927648608624345E-2</v>
      </c>
      <c r="G211" s="364">
        <f t="shared" si="88"/>
        <v>1.062759876949968</v>
      </c>
      <c r="H211" s="365">
        <f t="shared" si="89"/>
        <v>-0.34538161115986848</v>
      </c>
      <c r="I211" s="363">
        <f t="shared" si="90"/>
        <v>50164.010457178381</v>
      </c>
      <c r="J211" s="366">
        <f t="shared" si="91"/>
        <v>1.5707763921845863</v>
      </c>
      <c r="K211" s="374">
        <f t="shared" si="82"/>
        <v>15.553138642272316</v>
      </c>
      <c r="L211" s="375">
        <f t="shared" si="83"/>
        <v>1.5064562410101998</v>
      </c>
      <c r="M211" s="363">
        <f t="shared" si="92"/>
        <v>1.1101944314311638</v>
      </c>
      <c r="N211" s="366">
        <f t="shared" si="93"/>
        <v>0.4493189572603592</v>
      </c>
      <c r="O211" s="367">
        <f t="shared" si="94"/>
        <v>1.018987346211595</v>
      </c>
      <c r="P211" s="368">
        <f t="shared" si="95"/>
        <v>0.23642542754176635</v>
      </c>
      <c r="Q211" s="369">
        <f t="shared" si="96"/>
        <v>-5.3486576211221077</v>
      </c>
      <c r="R211" s="370">
        <f t="shared" si="97"/>
        <v>-144.20119996467426</v>
      </c>
      <c r="S211" s="372">
        <f t="shared" si="98"/>
        <v>35.798800035325741</v>
      </c>
      <c r="U211" s="345">
        <f t="shared" si="104"/>
        <v>12093</v>
      </c>
      <c r="V211" s="345">
        <f t="shared" si="105"/>
        <v>146240649</v>
      </c>
      <c r="X211" s="371">
        <f t="shared" si="99"/>
        <v>17.017209312543841</v>
      </c>
      <c r="Y211" s="372">
        <f t="shared" si="100"/>
        <v>-29.429353139801304</v>
      </c>
      <c r="AA211" s="371">
        <f t="shared" si="101"/>
        <v>35.135358334168053</v>
      </c>
      <c r="AB211" s="372">
        <f t="shared" si="102"/>
        <v>-114.7718468248729</v>
      </c>
      <c r="AD211">
        <f t="shared" si="106"/>
        <v>0</v>
      </c>
      <c r="AE211">
        <f t="shared" si="81"/>
        <v>0</v>
      </c>
    </row>
    <row r="212" spans="1:31" x14ac:dyDescent="0.2">
      <c r="A212" s="373">
        <v>12163</v>
      </c>
      <c r="B212" s="390">
        <f t="shared" si="103"/>
        <v>12.163</v>
      </c>
      <c r="C212" s="363">
        <f t="shared" si="84"/>
        <v>17.193893783836703</v>
      </c>
      <c r="D212" s="364">
        <f t="shared" si="85"/>
        <v>1.5126033054660721</v>
      </c>
      <c r="E212" s="364">
        <f t="shared" si="86"/>
        <v>1.004196269687621</v>
      </c>
      <c r="F212" s="365">
        <f t="shared" si="87"/>
        <v>9.1451059496563764E-2</v>
      </c>
      <c r="G212" s="364">
        <f t="shared" si="88"/>
        <v>1.0634667970248073</v>
      </c>
      <c r="H212" s="365">
        <f t="shared" si="89"/>
        <v>-0.34722437858809896</v>
      </c>
      <c r="I212" s="363">
        <f t="shared" si="90"/>
        <v>50454.383460619305</v>
      </c>
      <c r="J212" s="366">
        <f t="shared" si="91"/>
        <v>1.5707765069114399</v>
      </c>
      <c r="K212" s="374">
        <f t="shared" si="82"/>
        <v>15.642796452870137</v>
      </c>
      <c r="L212" s="375">
        <f t="shared" si="83"/>
        <v>1.5068255161481634</v>
      </c>
      <c r="M212" s="363">
        <f t="shared" si="92"/>
        <v>1.1114096784632874</v>
      </c>
      <c r="N212" s="366">
        <f t="shared" si="93"/>
        <v>0.45158116351615868</v>
      </c>
      <c r="O212" s="367">
        <f t="shared" si="94"/>
        <v>1.0192062253201086</v>
      </c>
      <c r="P212" s="368">
        <f t="shared" si="95"/>
        <v>0.23776822914611492</v>
      </c>
      <c r="Q212" s="369">
        <f t="shared" si="96"/>
        <v>-5.4040028966692031</v>
      </c>
      <c r="R212" s="370">
        <f t="shared" si="97"/>
        <v>-144.48145001770621</v>
      </c>
      <c r="S212" s="372">
        <f t="shared" si="98"/>
        <v>35.518549982293791</v>
      </c>
      <c r="U212" s="345">
        <f t="shared" si="104"/>
        <v>12163</v>
      </c>
      <c r="V212" s="345">
        <f t="shared" si="105"/>
        <v>147938569</v>
      </c>
      <c r="X212" s="371">
        <f t="shared" si="99"/>
        <v>17.007500656715482</v>
      </c>
      <c r="Y212" s="372">
        <f t="shared" si="100"/>
        <v>-29.537816677250738</v>
      </c>
      <c r="AA212" s="371">
        <f t="shared" si="101"/>
        <v>35.089721714449318</v>
      </c>
      <c r="AB212" s="372">
        <f t="shared" si="102"/>
        <v>-114.94363334045551</v>
      </c>
      <c r="AD212">
        <f t="shared" si="106"/>
        <v>0</v>
      </c>
      <c r="AE212">
        <f t="shared" si="81"/>
        <v>0</v>
      </c>
    </row>
    <row r="213" spans="1:31" x14ac:dyDescent="0.2">
      <c r="A213" s="373">
        <v>12233</v>
      </c>
      <c r="B213" s="390">
        <f t="shared" si="103"/>
        <v>12.233000000000001</v>
      </c>
      <c r="C213" s="363">
        <f t="shared" si="84"/>
        <v>17.292513611273964</v>
      </c>
      <c r="D213" s="364">
        <f t="shared" si="85"/>
        <v>1.5129355542853244</v>
      </c>
      <c r="E213" s="364">
        <f t="shared" si="86"/>
        <v>1.0042446067041035</v>
      </c>
      <c r="F213" s="365">
        <f t="shared" si="87"/>
        <v>9.1974420141499938E-2</v>
      </c>
      <c r="G213" s="364">
        <f t="shared" si="88"/>
        <v>1.0641773236064205</v>
      </c>
      <c r="H213" s="365">
        <f t="shared" si="89"/>
        <v>-0.34906469151234537</v>
      </c>
      <c r="I213" s="363">
        <f t="shared" si="90"/>
        <v>50744.756464060883</v>
      </c>
      <c r="J213" s="366">
        <f t="shared" si="91"/>
        <v>1.5707766203253075</v>
      </c>
      <c r="K213" s="374">
        <f t="shared" si="82"/>
        <v>15.732456372271214</v>
      </c>
      <c r="L213" s="375">
        <f t="shared" si="83"/>
        <v>1.5071905823068756</v>
      </c>
      <c r="M213" s="363">
        <f t="shared" si="92"/>
        <v>1.1126306007786291</v>
      </c>
      <c r="N213" s="366">
        <f t="shared" si="93"/>
        <v>0.45383841653149853</v>
      </c>
      <c r="O213" s="367">
        <f t="shared" si="94"/>
        <v>1.0194263320291894</v>
      </c>
      <c r="P213" s="368">
        <f t="shared" si="95"/>
        <v>0.23911059742438912</v>
      </c>
      <c r="Q213" s="369">
        <f t="shared" si="96"/>
        <v>-5.4590758912689008</v>
      </c>
      <c r="R213" s="370">
        <f t="shared" si="97"/>
        <v>-144.76127513651014</v>
      </c>
      <c r="S213" s="372">
        <f t="shared" si="98"/>
        <v>35.238724863489864</v>
      </c>
      <c r="U213" s="345">
        <f t="shared" si="104"/>
        <v>12233</v>
      </c>
      <c r="V213" s="345">
        <f t="shared" si="105"/>
        <v>149646289</v>
      </c>
      <c r="X213" s="371">
        <f t="shared" si="99"/>
        <v>16.997761598413589</v>
      </c>
      <c r="Y213" s="372">
        <f t="shared" si="100"/>
        <v>-29.646237496445451</v>
      </c>
      <c r="AA213" s="371">
        <f t="shared" si="101"/>
        <v>35.04438777815151</v>
      </c>
      <c r="AB213" s="372">
        <f t="shared" si="102"/>
        <v>-115.11503764006471</v>
      </c>
      <c r="AD213">
        <f t="shared" si="106"/>
        <v>0</v>
      </c>
      <c r="AE213">
        <f t="shared" si="81"/>
        <v>0</v>
      </c>
    </row>
    <row r="214" spans="1:31" x14ac:dyDescent="0.2">
      <c r="A214" s="373">
        <v>12303</v>
      </c>
      <c r="B214" s="390">
        <f t="shared" si="103"/>
        <v>12.303000000000001</v>
      </c>
      <c r="C214" s="363">
        <f t="shared" si="84"/>
        <v>17.391135325969529</v>
      </c>
      <c r="D214" s="364">
        <f t="shared" si="85"/>
        <v>1.513264034904823</v>
      </c>
      <c r="E214" s="364">
        <f t="shared" si="86"/>
        <v>1.0042932187630533</v>
      </c>
      <c r="F214" s="365">
        <f t="shared" si="87"/>
        <v>9.2497730264004693E-2</v>
      </c>
      <c r="G214" s="364">
        <f t="shared" si="88"/>
        <v>1.0648914494757087</v>
      </c>
      <c r="H214" s="365">
        <f t="shared" si="89"/>
        <v>-0.35090254239290358</v>
      </c>
      <c r="I214" s="363">
        <f t="shared" si="90"/>
        <v>51035.129467503109</v>
      </c>
      <c r="J214" s="366">
        <f t="shared" si="91"/>
        <v>1.5707767324486004</v>
      </c>
      <c r="K214" s="374">
        <f t="shared" si="82"/>
        <v>15.822118364625393</v>
      </c>
      <c r="L214" s="375">
        <f t="shared" si="83"/>
        <v>1.5075515109434909</v>
      </c>
      <c r="M214" s="363">
        <f t="shared" si="92"/>
        <v>1.1138571797147965</v>
      </c>
      <c r="N214" s="366">
        <f t="shared" si="93"/>
        <v>0.45609070963004406</v>
      </c>
      <c r="O214" s="367">
        <f t="shared" si="94"/>
        <v>1.0196476657455327</v>
      </c>
      <c r="P214" s="368">
        <f t="shared" si="95"/>
        <v>0.24045253022806071</v>
      </c>
      <c r="Q214" s="369">
        <f t="shared" si="96"/>
        <v>-5.5138797349240134</v>
      </c>
      <c r="R214" s="370">
        <f t="shared" si="97"/>
        <v>-145.04067403883457</v>
      </c>
      <c r="S214" s="372">
        <f t="shared" si="98"/>
        <v>34.959325961165433</v>
      </c>
      <c r="U214" s="345">
        <f t="shared" si="104"/>
        <v>12303</v>
      </c>
      <c r="V214" s="345">
        <f t="shared" si="105"/>
        <v>151363809</v>
      </c>
      <c r="X214" s="371">
        <f t="shared" si="99"/>
        <v>16.987992326623882</v>
      </c>
      <c r="Y214" s="372">
        <f t="shared" si="100"/>
        <v>-29.754611121950404</v>
      </c>
      <c r="AA214" s="371">
        <f t="shared" si="101"/>
        <v>34.999353206286102</v>
      </c>
      <c r="AB214" s="372">
        <f t="shared" si="102"/>
        <v>-115.28606291688413</v>
      </c>
      <c r="AD214">
        <f t="shared" si="106"/>
        <v>0</v>
      </c>
      <c r="AE214">
        <f t="shared" si="81"/>
        <v>0</v>
      </c>
    </row>
    <row r="215" spans="1:31" x14ac:dyDescent="0.2">
      <c r="A215" s="373">
        <v>12374.5</v>
      </c>
      <c r="B215" s="390">
        <f t="shared" si="103"/>
        <v>12.374499999999999</v>
      </c>
      <c r="C215" s="363">
        <f t="shared" si="84"/>
        <v>17.491872278285623</v>
      </c>
      <c r="D215" s="364">
        <f t="shared" si="85"/>
        <v>1.5135957304063663</v>
      </c>
      <c r="E215" s="364">
        <f t="shared" si="86"/>
        <v>1.0043431564137195</v>
      </c>
      <c r="F215" s="365">
        <f t="shared" si="87"/>
        <v>9.3032201726520186E-2</v>
      </c>
      <c r="G215" s="364">
        <f t="shared" si="88"/>
        <v>1.0656245863236484</v>
      </c>
      <c r="H215" s="365">
        <f t="shared" si="89"/>
        <v>-0.35277722629749353</v>
      </c>
      <c r="I215" s="363">
        <f t="shared" si="90"/>
        <v>51331.72474959118</v>
      </c>
      <c r="J215" s="366">
        <f t="shared" si="91"/>
        <v>1.5707768456649533</v>
      </c>
      <c r="K215" s="374">
        <f t="shared" ref="K215:K278" si="107">SQRT(1+(A215/Zero2)^2)</f>
        <v>15.913703789015473</v>
      </c>
      <c r="L215" s="375">
        <f t="shared" ref="L215:L278" si="108">ATAN(A215/Zero2)</f>
        <v>1.5079159749197983</v>
      </c>
      <c r="M215" s="363">
        <f t="shared" si="92"/>
        <v>1.1151158628163018</v>
      </c>
      <c r="N215" s="366">
        <f t="shared" si="93"/>
        <v>0.45838613897002134</v>
      </c>
      <c r="O215" s="367">
        <f t="shared" si="94"/>
        <v>1.0198750084359494</v>
      </c>
      <c r="P215" s="368">
        <f t="shared" si="95"/>
        <v>0.24182276693453378</v>
      </c>
      <c r="Q215" s="369">
        <f t="shared" si="96"/>
        <v>-5.5695832788509474</v>
      </c>
      <c r="R215" s="370">
        <f t="shared" si="97"/>
        <v>-145.32561874082208</v>
      </c>
      <c r="S215" s="372">
        <f t="shared" si="98"/>
        <v>34.67438125917792</v>
      </c>
      <c r="U215" s="345">
        <f t="shared" si="104"/>
        <v>12374.5</v>
      </c>
      <c r="V215" s="345">
        <f t="shared" si="105"/>
        <v>153128250.25</v>
      </c>
      <c r="X215" s="371">
        <f t="shared" si="99"/>
        <v>16.977982720034419</v>
      </c>
      <c r="Y215" s="372">
        <f t="shared" si="100"/>
        <v>-29.865253774620257</v>
      </c>
      <c r="AA215" s="371">
        <f t="shared" si="101"/>
        <v>34.953659268948634</v>
      </c>
      <c r="AB215" s="372">
        <f t="shared" si="102"/>
        <v>-115.46036496620184</v>
      </c>
      <c r="AD215">
        <f t="shared" si="106"/>
        <v>0</v>
      </c>
      <c r="AE215">
        <f t="shared" si="81"/>
        <v>0</v>
      </c>
    </row>
    <row r="216" spans="1:31" x14ac:dyDescent="0.2">
      <c r="A216" s="373">
        <v>12446</v>
      </c>
      <c r="B216" s="390">
        <f t="shared" si="103"/>
        <v>12.446</v>
      </c>
      <c r="C216" s="363">
        <f t="shared" si="84"/>
        <v>17.592611133051108</v>
      </c>
      <c r="D216" s="364">
        <f t="shared" si="85"/>
        <v>1.513923627232387</v>
      </c>
      <c r="E216" s="364">
        <f t="shared" si="86"/>
        <v>1.0043933809362184</v>
      </c>
      <c r="F216" s="365">
        <f t="shared" si="87"/>
        <v>9.3566619889373107E-2</v>
      </c>
      <c r="G216" s="364">
        <f t="shared" si="88"/>
        <v>1.0663614630877436</v>
      </c>
      <c r="H216" s="365">
        <f t="shared" si="89"/>
        <v>-0.35464932588693782</v>
      </c>
      <c r="I216" s="363">
        <f t="shared" si="90"/>
        <v>51628.320031679898</v>
      </c>
      <c r="J216" s="366">
        <f t="shared" si="91"/>
        <v>1.5707769575804917</v>
      </c>
      <c r="K216" s="374">
        <f t="shared" si="107"/>
        <v>16.005291303094079</v>
      </c>
      <c r="L216" s="375">
        <f t="shared" si="108"/>
        <v>1.5082762677792454</v>
      </c>
      <c r="M216" s="363">
        <f t="shared" si="92"/>
        <v>1.1163804081916628</v>
      </c>
      <c r="N216" s="366">
        <f t="shared" si="93"/>
        <v>0.46067638020138191</v>
      </c>
      <c r="O216" s="367">
        <f t="shared" si="94"/>
        <v>1.0201036300230166</v>
      </c>
      <c r="P216" s="368">
        <f t="shared" si="95"/>
        <v>0.24319254478965763</v>
      </c>
      <c r="Q216" s="369">
        <f t="shared" si="96"/>
        <v>-5.6250124381410735</v>
      </c>
      <c r="R216" s="370">
        <f t="shared" si="97"/>
        <v>-145.61011614411646</v>
      </c>
      <c r="S216" s="372">
        <f t="shared" si="98"/>
        <v>34.389883855883539</v>
      </c>
      <c r="U216" s="345">
        <f t="shared" si="104"/>
        <v>12446</v>
      </c>
      <c r="V216" s="345">
        <f t="shared" si="105"/>
        <v>154902916</v>
      </c>
      <c r="X216" s="371">
        <f t="shared" si="99"/>
        <v>16.967941995225775</v>
      </c>
      <c r="Y216" s="372">
        <f t="shared" si="100"/>
        <v>-29.975838083423405</v>
      </c>
      <c r="AA216" s="371">
        <f t="shared" si="101"/>
        <v>34.90827083446716</v>
      </c>
      <c r="AB216" s="372">
        <f t="shared" si="102"/>
        <v>-115.63427806069308</v>
      </c>
      <c r="AD216">
        <f t="shared" si="106"/>
        <v>0</v>
      </c>
      <c r="AE216">
        <f t="shared" si="81"/>
        <v>0</v>
      </c>
    </row>
    <row r="217" spans="1:31" x14ac:dyDescent="0.2">
      <c r="A217" s="373">
        <v>12517.5</v>
      </c>
      <c r="B217" s="390">
        <f t="shared" si="103"/>
        <v>12.5175</v>
      </c>
      <c r="C217" s="363">
        <f t="shared" si="84"/>
        <v>17.693351857770626</v>
      </c>
      <c r="D217" s="364">
        <f t="shared" si="85"/>
        <v>1.5142477901973803</v>
      </c>
      <c r="E217" s="364">
        <f t="shared" si="86"/>
        <v>1.0044438922875167</v>
      </c>
      <c r="F217" s="365">
        <f t="shared" si="87"/>
        <v>9.4100984455319198E-2</v>
      </c>
      <c r="G217" s="364">
        <f t="shared" si="88"/>
        <v>1.0671020720203075</v>
      </c>
      <c r="H217" s="365">
        <f t="shared" si="89"/>
        <v>-0.35651883340607954</v>
      </c>
      <c r="I217" s="363">
        <f t="shared" si="90"/>
        <v>51924.915313769256</v>
      </c>
      <c r="J217" s="366">
        <f t="shared" si="91"/>
        <v>1.5707770682175062</v>
      </c>
      <c r="K217" s="374">
        <f t="shared" si="107"/>
        <v>16.096880871191683</v>
      </c>
      <c r="L217" s="375">
        <f t="shared" si="108"/>
        <v>1.50863246062714</v>
      </c>
      <c r="M217" s="363">
        <f t="shared" si="92"/>
        <v>1.1176507959425948</v>
      </c>
      <c r="N217" s="366">
        <f t="shared" si="93"/>
        <v>0.4629614269493656</v>
      </c>
      <c r="O217" s="367">
        <f t="shared" si="94"/>
        <v>1.0203335298655878</v>
      </c>
      <c r="P217" s="368">
        <f t="shared" si="95"/>
        <v>0.24456186152171339</v>
      </c>
      <c r="Q217" s="369">
        <f t="shared" si="96"/>
        <v>-5.6801703726221575</v>
      </c>
      <c r="R217" s="370">
        <f t="shared" si="97"/>
        <v>-145.89416496684427</v>
      </c>
      <c r="S217" s="372">
        <f t="shared" si="98"/>
        <v>34.105835033155728</v>
      </c>
      <c r="U217" s="345">
        <f t="shared" si="104"/>
        <v>12517.5</v>
      </c>
      <c r="V217" s="345">
        <f t="shared" si="105"/>
        <v>156687806.25</v>
      </c>
      <c r="X217" s="371">
        <f t="shared" si="99"/>
        <v>16.957870358908384</v>
      </c>
      <c r="Y217" s="372">
        <f t="shared" si="100"/>
        <v>-30.086359610356126</v>
      </c>
      <c r="AA217" s="371">
        <f t="shared" si="101"/>
        <v>34.863184536303457</v>
      </c>
      <c r="AB217" s="372">
        <f t="shared" si="102"/>
        <v>-115.80780535648812</v>
      </c>
      <c r="AD217">
        <f t="shared" si="106"/>
        <v>0</v>
      </c>
      <c r="AE217">
        <f t="shared" si="81"/>
        <v>0</v>
      </c>
    </row>
    <row r="218" spans="1:31" x14ac:dyDescent="0.2">
      <c r="A218" s="373">
        <v>12589</v>
      </c>
      <c r="B218" s="390">
        <f t="shared" si="103"/>
        <v>12.589</v>
      </c>
      <c r="C218" s="363">
        <f t="shared" si="84"/>
        <v>17.794094420684111</v>
      </c>
      <c r="D218" s="364">
        <f t="shared" si="85"/>
        <v>1.514568282651213</v>
      </c>
      <c r="E218" s="364">
        <f t="shared" si="86"/>
        <v>1.004494690424345</v>
      </c>
      <c r="F218" s="365">
        <f t="shared" si="87"/>
        <v>9.4635295127296182E-2</v>
      </c>
      <c r="G218" s="364">
        <f t="shared" si="88"/>
        <v>1.0678464053559613</v>
      </c>
      <c r="H218" s="365">
        <f t="shared" si="89"/>
        <v>-0.35838574119369659</v>
      </c>
      <c r="I218" s="363">
        <f t="shared" si="90"/>
        <v>52221.510595859247</v>
      </c>
      <c r="J218" s="366">
        <f t="shared" si="91"/>
        <v>1.5707771775977812</v>
      </c>
      <c r="K218" s="374">
        <f t="shared" si="107"/>
        <v>16.188472458445194</v>
      </c>
      <c r="L218" s="375">
        <f t="shared" si="108"/>
        <v>1.5089846229637998</v>
      </c>
      <c r="M218" s="363">
        <f t="shared" si="92"/>
        <v>1.1189270061694558</v>
      </c>
      <c r="N218" s="366">
        <f t="shared" si="93"/>
        <v>0.46524127308507623</v>
      </c>
      <c r="O218" s="367">
        <f t="shared" si="94"/>
        <v>1.0205647073195476</v>
      </c>
      <c r="P218" s="368">
        <f t="shared" si="95"/>
        <v>0.24593071486505932</v>
      </c>
      <c r="Q218" s="369">
        <f t="shared" si="96"/>
        <v>-5.7350601856466614</v>
      </c>
      <c r="R218" s="370">
        <f t="shared" si="97"/>
        <v>-146.17776395495176</v>
      </c>
      <c r="S218" s="372">
        <f t="shared" si="98"/>
        <v>33.822236045048243</v>
      </c>
      <c r="U218" s="345">
        <f t="shared" si="104"/>
        <v>12589</v>
      </c>
      <c r="V218" s="345">
        <f t="shared" si="105"/>
        <v>158482921</v>
      </c>
      <c r="X218" s="371">
        <f t="shared" si="99"/>
        <v>16.947768019392111</v>
      </c>
      <c r="Y218" s="372">
        <f t="shared" si="100"/>
        <v>-30.196814023431841</v>
      </c>
      <c r="AA218" s="371">
        <f t="shared" si="101"/>
        <v>34.818397062795228</v>
      </c>
      <c r="AB218" s="372">
        <f t="shared" si="102"/>
        <v>-115.98094993151996</v>
      </c>
      <c r="AD218">
        <f t="shared" si="106"/>
        <v>0</v>
      </c>
      <c r="AE218">
        <f t="shared" ref="AE218:AE281" si="109">IF(AD218&gt;0,S218,0)</f>
        <v>0</v>
      </c>
    </row>
    <row r="219" spans="1:31" x14ac:dyDescent="0.2">
      <c r="A219" s="373">
        <v>12662.25</v>
      </c>
      <c r="B219" s="390">
        <f t="shared" si="103"/>
        <v>12.66225</v>
      </c>
      <c r="C219" s="363">
        <f t="shared" si="84"/>
        <v>17.897304584439912</v>
      </c>
      <c r="D219" s="364">
        <f t="shared" si="85"/>
        <v>1.5148928776922692</v>
      </c>
      <c r="E219" s="364">
        <f t="shared" si="86"/>
        <v>1.0045470292269969</v>
      </c>
      <c r="F219" s="365">
        <f t="shared" si="87"/>
        <v>9.518262713408808E-2</v>
      </c>
      <c r="G219" s="364">
        <f t="shared" si="88"/>
        <v>1.0686128107573576</v>
      </c>
      <c r="H219" s="365">
        <f t="shared" si="89"/>
        <v>-0.36029563866270364</v>
      </c>
      <c r="I219" s="363">
        <f t="shared" si="90"/>
        <v>52525.365203035995</v>
      </c>
      <c r="J219" s="366">
        <f t="shared" si="91"/>
        <v>1.5707772883741984</v>
      </c>
      <c r="K219" s="374">
        <f t="shared" si="107"/>
        <v>16.282307856100747</v>
      </c>
      <c r="L219" s="375">
        <f t="shared" si="108"/>
        <v>1.509341295986574</v>
      </c>
      <c r="M219" s="363">
        <f t="shared" si="92"/>
        <v>1.1202404694882293</v>
      </c>
      <c r="N219" s="366">
        <f t="shared" si="93"/>
        <v>0.46757152039829208</v>
      </c>
      <c r="O219" s="367">
        <f t="shared" si="94"/>
        <v>1.020802867185804</v>
      </c>
      <c r="P219" s="368">
        <f t="shared" si="95"/>
        <v>0.2473325887096324</v>
      </c>
      <c r="Q219" s="369">
        <f t="shared" si="96"/>
        <v>-5.7910185966986454</v>
      </c>
      <c r="R219" s="370">
        <f t="shared" si="97"/>
        <v>-146.46783641060466</v>
      </c>
      <c r="S219" s="372">
        <f t="shared" si="98"/>
        <v>33.532163589395338</v>
      </c>
      <c r="U219" s="345">
        <f t="shared" si="104"/>
        <v>12662.25</v>
      </c>
      <c r="V219" s="345">
        <f t="shared" si="105"/>
        <v>160332575.0625</v>
      </c>
      <c r="X219" s="371">
        <f t="shared" si="99"/>
        <v>16.937386799576263</v>
      </c>
      <c r="Y219" s="372">
        <f t="shared" si="100"/>
        <v>-30.30989784798005</v>
      </c>
      <c r="AA219" s="371">
        <f t="shared" si="101"/>
        <v>34.772819871559093</v>
      </c>
      <c r="AB219" s="372">
        <f t="shared" si="102"/>
        <v>-116.15793856262462</v>
      </c>
      <c r="AD219">
        <f t="shared" si="106"/>
        <v>0</v>
      </c>
      <c r="AE219">
        <f t="shared" si="109"/>
        <v>0</v>
      </c>
    </row>
    <row r="220" spans="1:31" x14ac:dyDescent="0.2">
      <c r="A220" s="373">
        <v>12735.5</v>
      </c>
      <c r="B220" s="390">
        <f t="shared" si="103"/>
        <v>12.7355</v>
      </c>
      <c r="C220" s="363">
        <f t="shared" si="84"/>
        <v>18.000516612266189</v>
      </c>
      <c r="D220" s="364">
        <f t="shared" si="85"/>
        <v>1.5152137504167105</v>
      </c>
      <c r="E220" s="364">
        <f t="shared" si="86"/>
        <v>1.004599668932729</v>
      </c>
      <c r="F220" s="365">
        <f t="shared" si="87"/>
        <v>9.5729901945854762E-2</v>
      </c>
      <c r="G220" s="364">
        <f t="shared" si="88"/>
        <v>1.0693831085511114</v>
      </c>
      <c r="H220" s="365">
        <f t="shared" si="89"/>
        <v>-0.36220279160631041</v>
      </c>
      <c r="I220" s="363">
        <f t="shared" si="90"/>
        <v>52829.219810213377</v>
      </c>
      <c r="J220" s="366">
        <f t="shared" si="91"/>
        <v>1.5707773978763238</v>
      </c>
      <c r="K220" s="374">
        <f t="shared" si="107"/>
        <v>16.376145301382586</v>
      </c>
      <c r="L220" s="375">
        <f t="shared" si="108"/>
        <v>1.5096938814880332</v>
      </c>
      <c r="M220" s="363">
        <f t="shared" si="92"/>
        <v>1.1215600015048011</v>
      </c>
      <c r="N220" s="366">
        <f t="shared" si="93"/>
        <v>0.46989629716925968</v>
      </c>
      <c r="O220" s="367">
        <f t="shared" si="94"/>
        <v>1.021042366591113</v>
      </c>
      <c r="P220" s="368">
        <f t="shared" si="95"/>
        <v>0.24873397141017747</v>
      </c>
      <c r="Q220" s="369">
        <f t="shared" si="96"/>
        <v>-5.8467020187253649</v>
      </c>
      <c r="R220" s="370">
        <f t="shared" si="97"/>
        <v>-146.75743416578237</v>
      </c>
      <c r="S220" s="372">
        <f t="shared" si="98"/>
        <v>33.242565834217629</v>
      </c>
      <c r="U220" s="345">
        <f t="shared" si="104"/>
        <v>12735.5</v>
      </c>
      <c r="V220" s="345">
        <f t="shared" si="105"/>
        <v>162192960.25</v>
      </c>
      <c r="X220" s="371">
        <f t="shared" si="99"/>
        <v>16.926973802587682</v>
      </c>
      <c r="Y220" s="372">
        <f t="shared" si="100"/>
        <v>-30.422902358254181</v>
      </c>
      <c r="AA220" s="371">
        <f t="shared" si="101"/>
        <v>34.727549446520946</v>
      </c>
      <c r="AB220" s="372">
        <f t="shared" si="102"/>
        <v>-116.33453180752821</v>
      </c>
      <c r="AD220">
        <f t="shared" si="106"/>
        <v>0</v>
      </c>
      <c r="AE220">
        <f t="shared" si="109"/>
        <v>0</v>
      </c>
    </row>
    <row r="221" spans="1:31" x14ac:dyDescent="0.2">
      <c r="A221" s="373">
        <v>12808.75</v>
      </c>
      <c r="B221" s="390">
        <f t="shared" si="103"/>
        <v>12.80875</v>
      </c>
      <c r="C221" s="363">
        <f t="shared" si="84"/>
        <v>18.10373047228094</v>
      </c>
      <c r="D221" s="364">
        <f t="shared" si="85"/>
        <v>1.5155309644234436</v>
      </c>
      <c r="E221" s="364">
        <f t="shared" si="86"/>
        <v>1.0046526094942432</v>
      </c>
      <c r="F221" s="365">
        <f t="shared" si="87"/>
        <v>9.6277119243784196E-2</v>
      </c>
      <c r="G221" s="364">
        <f t="shared" si="88"/>
        <v>1.0701572903320062</v>
      </c>
      <c r="H221" s="365">
        <f t="shared" si="89"/>
        <v>-0.36410719209253806</v>
      </c>
      <c r="I221" s="363">
        <f t="shared" si="90"/>
        <v>53133.074417391384</v>
      </c>
      <c r="J221" s="366">
        <f t="shared" si="91"/>
        <v>1.570777506126019</v>
      </c>
      <c r="K221" s="374">
        <f t="shared" si="107"/>
        <v>16.469984759291776</v>
      </c>
      <c r="L221" s="375">
        <f t="shared" si="108"/>
        <v>1.5100424492469939</v>
      </c>
      <c r="M221" s="363">
        <f t="shared" si="92"/>
        <v>1.1228855808247178</v>
      </c>
      <c r="N221" s="366">
        <f t="shared" si="93"/>
        <v>0.47221559759915055</v>
      </c>
      <c r="O221" s="367">
        <f t="shared" si="94"/>
        <v>1.0212832048332805</v>
      </c>
      <c r="P221" s="368">
        <f t="shared" si="95"/>
        <v>0.25013486055057643</v>
      </c>
      <c r="Q221" s="369">
        <f t="shared" si="96"/>
        <v>-5.9021136126400551</v>
      </c>
      <c r="R221" s="370">
        <f t="shared" si="97"/>
        <v>-147.04655596077066</v>
      </c>
      <c r="S221" s="372">
        <f t="shared" si="98"/>
        <v>32.953444039229339</v>
      </c>
      <c r="U221" s="345">
        <f t="shared" si="104"/>
        <v>12808.75</v>
      </c>
      <c r="V221" s="345">
        <f t="shared" si="105"/>
        <v>164064076.5625</v>
      </c>
      <c r="X221" s="371">
        <f t="shared" si="99"/>
        <v>16.916529257048378</v>
      </c>
      <c r="Y221" s="372">
        <f t="shared" si="100"/>
        <v>-30.535823225226725</v>
      </c>
      <c r="AA221" s="371">
        <f t="shared" si="101"/>
        <v>34.682582398145563</v>
      </c>
      <c r="AB221" s="372">
        <f t="shared" si="102"/>
        <v>-116.51073273554394</v>
      </c>
      <c r="AD221">
        <f t="shared" si="106"/>
        <v>0</v>
      </c>
      <c r="AE221">
        <f t="shared" si="109"/>
        <v>0</v>
      </c>
    </row>
    <row r="222" spans="1:31" x14ac:dyDescent="0.2">
      <c r="A222" s="373">
        <v>12882</v>
      </c>
      <c r="B222" s="390">
        <f t="shared" si="103"/>
        <v>12.882</v>
      </c>
      <c r="C222" s="363">
        <f t="shared" si="84"/>
        <v>18.206946133324525</v>
      </c>
      <c r="D222" s="364">
        <f t="shared" si="85"/>
        <v>1.515844581872184</v>
      </c>
      <c r="E222" s="364">
        <f t="shared" si="86"/>
        <v>1.0047058508639806</v>
      </c>
      <c r="F222" s="365">
        <f t="shared" si="87"/>
        <v>9.6824278709269213E-2</v>
      </c>
      <c r="G222" s="364">
        <f t="shared" si="88"/>
        <v>1.0709353476768109</v>
      </c>
      <c r="H222" s="365">
        <f t="shared" si="89"/>
        <v>-0.3660088322921452</v>
      </c>
      <c r="I222" s="363">
        <f t="shared" si="90"/>
        <v>53436.92902457001</v>
      </c>
      <c r="J222" s="366">
        <f t="shared" si="91"/>
        <v>1.5707776131446494</v>
      </c>
      <c r="K222" s="374">
        <f t="shared" si="107"/>
        <v>16.563826195621747</v>
      </c>
      <c r="L222" s="375">
        <f t="shared" si="108"/>
        <v>1.5103870674649165</v>
      </c>
      <c r="M222" s="363">
        <f t="shared" si="92"/>
        <v>1.1242171860566144</v>
      </c>
      <c r="N222" s="366">
        <f t="shared" si="93"/>
        <v>0.4745294161520866</v>
      </c>
      <c r="O222" s="367">
        <f t="shared" si="94"/>
        <v>1.0215253812068945</v>
      </c>
      <c r="P222" s="368">
        <f t="shared" si="95"/>
        <v>0.25153525372150209</v>
      </c>
      <c r="Q222" s="369">
        <f t="shared" si="96"/>
        <v>-5.9572564827387167</v>
      </c>
      <c r="R222" s="370">
        <f t="shared" si="97"/>
        <v>-147.3352005650728</v>
      </c>
      <c r="S222" s="372">
        <f t="shared" si="98"/>
        <v>32.664799434927204</v>
      </c>
      <c r="U222" s="345">
        <f t="shared" si="104"/>
        <v>12882</v>
      </c>
      <c r="V222" s="345">
        <f t="shared" si="105"/>
        <v>165945924</v>
      </c>
      <c r="X222" s="371">
        <f t="shared" si="99"/>
        <v>16.906053392959258</v>
      </c>
      <c r="Y222" s="372">
        <f t="shared" si="100"/>
        <v>-30.648656225283531</v>
      </c>
      <c r="AA222" s="371">
        <f t="shared" si="101"/>
        <v>34.63791539213603</v>
      </c>
      <c r="AB222" s="372">
        <f t="shared" si="102"/>
        <v>-116.68654433978928</v>
      </c>
      <c r="AD222">
        <f t="shared" si="106"/>
        <v>0</v>
      </c>
      <c r="AE222">
        <f t="shared" si="109"/>
        <v>0</v>
      </c>
    </row>
    <row r="223" spans="1:31" x14ac:dyDescent="0.2">
      <c r="A223" s="373">
        <v>12957.25</v>
      </c>
      <c r="B223" s="390">
        <f t="shared" si="103"/>
        <v>12.95725</v>
      </c>
      <c r="C223" s="363">
        <f t="shared" si="84"/>
        <v>18.312981812876039</v>
      </c>
      <c r="D223" s="364">
        <f t="shared" si="85"/>
        <v>1.5161630808949389</v>
      </c>
      <c r="E223" s="364">
        <f t="shared" si="86"/>
        <v>1.0047608591128838</v>
      </c>
      <c r="F223" s="365">
        <f t="shared" si="87"/>
        <v>9.7386317125202113E-2</v>
      </c>
      <c r="G223" s="364">
        <f t="shared" si="88"/>
        <v>1.0717386757730005</v>
      </c>
      <c r="H223" s="365">
        <f t="shared" si="89"/>
        <v>-0.36795951192513821</v>
      </c>
      <c r="I223" s="363">
        <f t="shared" si="90"/>
        <v>53749.080003276336</v>
      </c>
      <c r="J223" s="366">
        <f t="shared" si="91"/>
        <v>1.5707777218252861</v>
      </c>
      <c r="K223" s="374">
        <f t="shared" si="107"/>
        <v>16.660231880525135</v>
      </c>
      <c r="L223" s="375">
        <f t="shared" si="108"/>
        <v>1.5107370523295707</v>
      </c>
      <c r="M223" s="363">
        <f t="shared" si="92"/>
        <v>1.125591401589993</v>
      </c>
      <c r="N223" s="366">
        <f t="shared" si="93"/>
        <v>0.47690069666307477</v>
      </c>
      <c r="O223" s="367">
        <f t="shared" si="94"/>
        <v>1.0217755625943103</v>
      </c>
      <c r="P223" s="368">
        <f t="shared" si="95"/>
        <v>0.25297336389182978</v>
      </c>
      <c r="Q223" s="369">
        <f t="shared" si="96"/>
        <v>-6.0136283339890815</v>
      </c>
      <c r="R223" s="370">
        <f t="shared" si="97"/>
        <v>-147.63122807604896</v>
      </c>
      <c r="S223" s="372">
        <f t="shared" si="98"/>
        <v>32.368771923951044</v>
      </c>
      <c r="U223" s="345">
        <f t="shared" si="104"/>
        <v>12957.25</v>
      </c>
      <c r="V223" s="345">
        <f t="shared" si="105"/>
        <v>167890327.5625</v>
      </c>
      <c r="X223" s="371">
        <f t="shared" si="99"/>
        <v>16.895259128607528</v>
      </c>
      <c r="Y223" s="372">
        <f t="shared" si="100"/>
        <v>-30.764474162040774</v>
      </c>
      <c r="AA223" s="371">
        <f t="shared" si="101"/>
        <v>34.592337805237385</v>
      </c>
      <c r="AB223" s="372">
        <f t="shared" si="102"/>
        <v>-116.86675391400817</v>
      </c>
      <c r="AD223">
        <f t="shared" si="106"/>
        <v>0</v>
      </c>
      <c r="AE223">
        <f t="shared" si="109"/>
        <v>0</v>
      </c>
    </row>
    <row r="224" spans="1:31" x14ac:dyDescent="0.2">
      <c r="A224" s="373">
        <v>13032.5</v>
      </c>
      <c r="B224" s="390">
        <f t="shared" si="103"/>
        <v>13.032500000000001</v>
      </c>
      <c r="C224" s="363">
        <f t="shared" si="84"/>
        <v>18.419019328737104</v>
      </c>
      <c r="D224" s="364">
        <f t="shared" si="85"/>
        <v>1.5164779127784977</v>
      </c>
      <c r="E224" s="364">
        <f t="shared" si="86"/>
        <v>1.004816184718053</v>
      </c>
      <c r="F224" s="365">
        <f t="shared" si="87"/>
        <v>9.7948293826493019E-2</v>
      </c>
      <c r="G224" s="364">
        <f t="shared" si="88"/>
        <v>1.0725460758787055</v>
      </c>
      <c r="H224" s="365">
        <f t="shared" si="89"/>
        <v>-0.36990726206284458</v>
      </c>
      <c r="I224" s="363">
        <f t="shared" si="90"/>
        <v>54061.230981983281</v>
      </c>
      <c r="J224" s="366">
        <f t="shared" si="91"/>
        <v>1.5707778292508732</v>
      </c>
      <c r="K224" s="374">
        <f t="shared" si="107"/>
        <v>16.756639582648805</v>
      </c>
      <c r="L224" s="375">
        <f t="shared" si="108"/>
        <v>1.5110830100281851</v>
      </c>
      <c r="M224" s="363">
        <f t="shared" si="92"/>
        <v>1.126971930835327</v>
      </c>
      <c r="N224" s="366">
        <f t="shared" si="93"/>
        <v>0.4792661808586211</v>
      </c>
      <c r="O224" s="367">
        <f t="shared" si="94"/>
        <v>1.0220271546631414</v>
      </c>
      <c r="P224" s="368">
        <f t="shared" si="95"/>
        <v>0.25441094550660581</v>
      </c>
      <c r="Q224" s="369">
        <f t="shared" si="96"/>
        <v>-6.0697230505312465</v>
      </c>
      <c r="R224" s="370">
        <f t="shared" si="97"/>
        <v>-147.92674944299273</v>
      </c>
      <c r="S224" s="372">
        <f t="shared" si="98"/>
        <v>32.07325055700727</v>
      </c>
      <c r="U224" s="345">
        <f t="shared" si="104"/>
        <v>13032.5</v>
      </c>
      <c r="V224" s="345">
        <f t="shared" si="105"/>
        <v>169846056.25</v>
      </c>
      <c r="X224" s="371">
        <f t="shared" si="99"/>
        <v>16.88443230831129</v>
      </c>
      <c r="Y224" s="372">
        <f t="shared" si="100"/>
        <v>-30.880190662094797</v>
      </c>
      <c r="AA224" s="371">
        <f t="shared" si="101"/>
        <v>34.547069908991467</v>
      </c>
      <c r="AB224" s="372">
        <f t="shared" si="102"/>
        <v>-117.04655878089794</v>
      </c>
      <c r="AD224">
        <f t="shared" si="106"/>
        <v>0</v>
      </c>
      <c r="AE224">
        <f t="shared" si="109"/>
        <v>0</v>
      </c>
    </row>
    <row r="225" spans="1:31" x14ac:dyDescent="0.2">
      <c r="A225" s="373">
        <v>13107.75</v>
      </c>
      <c r="B225" s="390">
        <f t="shared" si="103"/>
        <v>13.107749999999999</v>
      </c>
      <c r="C225" s="363">
        <f t="shared" si="84"/>
        <v>18.525058649374593</v>
      </c>
      <c r="D225" s="364">
        <f t="shared" si="85"/>
        <v>1.5167891404331402</v>
      </c>
      <c r="E225" s="364">
        <f t="shared" si="86"/>
        <v>1.0048718276270698</v>
      </c>
      <c r="F225" s="365">
        <f t="shared" si="87"/>
        <v>9.8510208468400445E-2</v>
      </c>
      <c r="G225" s="364">
        <f t="shared" si="88"/>
        <v>1.0733575388047949</v>
      </c>
      <c r="H225" s="365">
        <f t="shared" si="89"/>
        <v>-0.37185207455437297</v>
      </c>
      <c r="I225" s="363">
        <f t="shared" si="90"/>
        <v>54373.381960690836</v>
      </c>
      <c r="J225" s="366">
        <f t="shared" si="91"/>
        <v>1.5707779354430256</v>
      </c>
      <c r="K225" s="374">
        <f t="shared" si="107"/>
        <v>16.853049267374299</v>
      </c>
      <c r="L225" s="375">
        <f t="shared" si="108"/>
        <v>1.5114250095907396</v>
      </c>
      <c r="M225" s="363">
        <f t="shared" si="92"/>
        <v>1.1283587506184336</v>
      </c>
      <c r="N225" s="366">
        <f t="shared" si="93"/>
        <v>0.48162586359026993</v>
      </c>
      <c r="O225" s="367">
        <f t="shared" si="94"/>
        <v>1.0222801566380784</v>
      </c>
      <c r="P225" s="368">
        <f t="shared" si="95"/>
        <v>0.25584799597626023</v>
      </c>
      <c r="Q225" s="369">
        <f t="shared" si="96"/>
        <v>-6.1255438198945997</v>
      </c>
      <c r="R225" s="370">
        <f t="shared" si="97"/>
        <v>-148.22176342589395</v>
      </c>
      <c r="S225" s="372">
        <f t="shared" si="98"/>
        <v>31.778236574106046</v>
      </c>
      <c r="U225" s="345">
        <f t="shared" si="104"/>
        <v>13107.75</v>
      </c>
      <c r="V225" s="345">
        <f t="shared" si="105"/>
        <v>171813110.0625</v>
      </c>
      <c r="X225" s="371">
        <f t="shared" si="99"/>
        <v>16.873573185399316</v>
      </c>
      <c r="Y225" s="372">
        <f t="shared" si="100"/>
        <v>-30.995801476572737</v>
      </c>
      <c r="AA225" s="371">
        <f t="shared" si="101"/>
        <v>34.502108262540084</v>
      </c>
      <c r="AB225" s="372">
        <f t="shared" si="102"/>
        <v>-117.22596194932117</v>
      </c>
      <c r="AD225">
        <f t="shared" si="106"/>
        <v>0</v>
      </c>
      <c r="AE225">
        <f t="shared" si="109"/>
        <v>0</v>
      </c>
    </row>
    <row r="226" spans="1:31" x14ac:dyDescent="0.2">
      <c r="A226" s="373">
        <v>13183</v>
      </c>
      <c r="B226" s="390">
        <f t="shared" si="103"/>
        <v>13.183</v>
      </c>
      <c r="C226" s="363">
        <f t="shared" si="84"/>
        <v>18.631099743972729</v>
      </c>
      <c r="D226" s="364">
        <f t="shared" si="85"/>
        <v>1.5170968253397306</v>
      </c>
      <c r="E226" s="364">
        <f t="shared" si="86"/>
        <v>1.0049277877872267</v>
      </c>
      <c r="F226" s="365">
        <f t="shared" si="87"/>
        <v>9.9072060706415749E-2</v>
      </c>
      <c r="G226" s="364">
        <f t="shared" si="88"/>
        <v>1.074173055343735</v>
      </c>
      <c r="H226" s="365">
        <f t="shared" si="89"/>
        <v>-0.37379394136228777</v>
      </c>
      <c r="I226" s="363">
        <f t="shared" si="90"/>
        <v>54685.532939399011</v>
      </c>
      <c r="J226" s="366">
        <f t="shared" si="91"/>
        <v>1.5707780404228653</v>
      </c>
      <c r="K226" s="374">
        <f t="shared" si="107"/>
        <v>16.949460900870083</v>
      </c>
      <c r="L226" s="375">
        <f t="shared" si="108"/>
        <v>1.5117631184803462</v>
      </c>
      <c r="M226" s="363">
        <f t="shared" si="92"/>
        <v>1.1297518377735825</v>
      </c>
      <c r="N226" s="366">
        <f t="shared" si="93"/>
        <v>0.48397973999321137</v>
      </c>
      <c r="O226" s="367">
        <f t="shared" si="94"/>
        <v>1.0225345677402859</v>
      </c>
      <c r="P226" s="368">
        <f t="shared" si="95"/>
        <v>0.25728451271889263</v>
      </c>
      <c r="Q226" s="369">
        <f t="shared" si="96"/>
        <v>-6.1810937722446671</v>
      </c>
      <c r="R226" s="370">
        <f t="shared" si="97"/>
        <v>-148.51626881576786</v>
      </c>
      <c r="S226" s="372">
        <f t="shared" si="98"/>
        <v>31.483731184232141</v>
      </c>
      <c r="U226" s="345">
        <f t="shared" si="104"/>
        <v>13183</v>
      </c>
      <c r="V226" s="345">
        <f t="shared" si="105"/>
        <v>173791489</v>
      </c>
      <c r="X226" s="371">
        <f t="shared" si="99"/>
        <v>16.862682014356725</v>
      </c>
      <c r="Y226" s="372">
        <f t="shared" si="100"/>
        <v>-31.111302462600129</v>
      </c>
      <c r="AA226" s="371">
        <f t="shared" si="101"/>
        <v>34.457449481232615</v>
      </c>
      <c r="AB226" s="372">
        <f t="shared" si="102"/>
        <v>-117.40496635316774</v>
      </c>
      <c r="AD226">
        <f t="shared" si="106"/>
        <v>0</v>
      </c>
      <c r="AE226">
        <f t="shared" si="109"/>
        <v>0</v>
      </c>
    </row>
    <row r="227" spans="1:31" x14ac:dyDescent="0.2">
      <c r="A227" s="373">
        <v>13259.75</v>
      </c>
      <c r="B227" s="390">
        <f t="shared" si="103"/>
        <v>13.25975</v>
      </c>
      <c r="C227" s="363">
        <f t="shared" si="84"/>
        <v>18.739256410670162</v>
      </c>
      <c r="D227" s="364">
        <f t="shared" si="85"/>
        <v>1.5174070564237934</v>
      </c>
      <c r="E227" s="364">
        <f t="shared" si="86"/>
        <v>1.0049851901774323</v>
      </c>
      <c r="F227" s="365">
        <f t="shared" si="87"/>
        <v>9.9645048017637544E-2</v>
      </c>
      <c r="G227" s="364">
        <f t="shared" si="88"/>
        <v>1.0750089940824417</v>
      </c>
      <c r="H227" s="365">
        <f t="shared" si="89"/>
        <v>-0.37577147391649374</v>
      </c>
      <c r="I227" s="363">
        <f t="shared" si="90"/>
        <v>55003.906196753131</v>
      </c>
      <c r="J227" s="366">
        <f t="shared" si="91"/>
        <v>1.5707781462679269</v>
      </c>
      <c r="K227" s="374">
        <f t="shared" si="107"/>
        <v>17.047796334088996</v>
      </c>
      <c r="L227" s="375">
        <f t="shared" si="108"/>
        <v>1.5121040276724813</v>
      </c>
      <c r="M227" s="363">
        <f t="shared" si="92"/>
        <v>1.1311791261101574</v>
      </c>
      <c r="N227" s="366">
        <f t="shared" si="93"/>
        <v>0.4863745516756186</v>
      </c>
      <c r="O227" s="367">
        <f t="shared" si="94"/>
        <v>1.0227955008894798</v>
      </c>
      <c r="P227" s="368">
        <f t="shared" si="95"/>
        <v>0.25874911188582012</v>
      </c>
      <c r="Q227" s="369">
        <f t="shared" si="96"/>
        <v>-6.2374752517081387</v>
      </c>
      <c r="R227" s="370">
        <f t="shared" si="97"/>
        <v>-148.81611962210187</v>
      </c>
      <c r="S227" s="372">
        <f t="shared" si="98"/>
        <v>31.183880377898134</v>
      </c>
      <c r="U227" s="345">
        <f t="shared" si="104"/>
        <v>13259.75</v>
      </c>
      <c r="V227" s="345">
        <f t="shared" si="105"/>
        <v>175820970.0625</v>
      </c>
      <c r="X227" s="371">
        <f t="shared" si="99"/>
        <v>16.851540995811412</v>
      </c>
      <c r="Y227" s="372">
        <f t="shared" si="100"/>
        <v>-31.228988471433922</v>
      </c>
      <c r="AA227" s="371">
        <f t="shared" si="101"/>
        <v>34.412209020314457</v>
      </c>
      <c r="AB227" s="372">
        <f t="shared" si="102"/>
        <v>-117.58713115066794</v>
      </c>
      <c r="AD227">
        <f t="shared" si="106"/>
        <v>0</v>
      </c>
      <c r="AE227">
        <f t="shared" si="109"/>
        <v>0</v>
      </c>
    </row>
    <row r="228" spans="1:31" x14ac:dyDescent="0.2">
      <c r="A228" s="373">
        <v>13336.5</v>
      </c>
      <c r="B228" s="390">
        <f t="shared" si="103"/>
        <v>13.336499999999999</v>
      </c>
      <c r="C228" s="363">
        <f t="shared" si="84"/>
        <v>18.847414860196604</v>
      </c>
      <c r="D228" s="364">
        <f t="shared" si="85"/>
        <v>1.5177137269306831</v>
      </c>
      <c r="E228" s="364">
        <f t="shared" si="86"/>
        <v>1.0050429224810535</v>
      </c>
      <c r="F228" s="365">
        <f t="shared" si="87"/>
        <v>0.10021796968914945</v>
      </c>
      <c r="G228" s="364">
        <f t="shared" si="88"/>
        <v>1.0758491302463709</v>
      </c>
      <c r="H228" s="365">
        <f t="shared" si="89"/>
        <v>-0.37774592565118653</v>
      </c>
      <c r="I228" s="363">
        <f t="shared" si="90"/>
        <v>55322.279454107869</v>
      </c>
      <c r="J228" s="366">
        <f t="shared" si="91"/>
        <v>1.5707782508947363</v>
      </c>
      <c r="K228" s="374">
        <f t="shared" si="107"/>
        <v>17.146133725861109</v>
      </c>
      <c r="L228" s="375">
        <f t="shared" si="108"/>
        <v>1.5124410265033941</v>
      </c>
      <c r="M228" s="363">
        <f t="shared" si="92"/>
        <v>1.1326128855258526</v>
      </c>
      <c r="N228" s="366">
        <f t="shared" si="93"/>
        <v>0.48876331390925359</v>
      </c>
      <c r="O228" s="367">
        <f t="shared" si="94"/>
        <v>1.0230578982560148</v>
      </c>
      <c r="P228" s="368">
        <f t="shared" si="95"/>
        <v>0.26021315043471105</v>
      </c>
      <c r="Q228" s="369">
        <f t="shared" si="96"/>
        <v>-6.2935814106372625</v>
      </c>
      <c r="R228" s="370">
        <f t="shared" si="97"/>
        <v>-149.1154389137767</v>
      </c>
      <c r="S228" s="372">
        <f t="shared" si="98"/>
        <v>30.8845610862233</v>
      </c>
      <c r="U228" s="345">
        <f t="shared" si="104"/>
        <v>13336.5</v>
      </c>
      <c r="V228" s="345">
        <f t="shared" si="105"/>
        <v>177862232.25</v>
      </c>
      <c r="X228" s="371">
        <f t="shared" si="99"/>
        <v>16.840367176777203</v>
      </c>
      <c r="Y228" s="372">
        <f t="shared" si="100"/>
        <v>-31.346551849778255</v>
      </c>
      <c r="AA228" s="371">
        <f t="shared" si="101"/>
        <v>34.367276680419536</v>
      </c>
      <c r="AB228" s="372">
        <f t="shared" si="102"/>
        <v>-117.76888706399843</v>
      </c>
      <c r="AD228">
        <f t="shared" si="106"/>
        <v>0</v>
      </c>
      <c r="AE228">
        <f t="shared" si="109"/>
        <v>0</v>
      </c>
    </row>
    <row r="229" spans="1:31" x14ac:dyDescent="0.2">
      <c r="A229" s="373">
        <v>13413.25</v>
      </c>
      <c r="B229" s="390">
        <f t="shared" si="103"/>
        <v>13.41325</v>
      </c>
      <c r="C229" s="363">
        <f t="shared" si="84"/>
        <v>18.955575062034171</v>
      </c>
      <c r="D229" s="364">
        <f t="shared" si="85"/>
        <v>1.5180168977520032</v>
      </c>
      <c r="E229" s="364">
        <f t="shared" si="86"/>
        <v>1.0051009846412404</v>
      </c>
      <c r="F229" s="365">
        <f t="shared" si="87"/>
        <v>0.10079082535618415</v>
      </c>
      <c r="G229" s="364">
        <f t="shared" si="88"/>
        <v>1.0766934540098598</v>
      </c>
      <c r="H229" s="365">
        <f t="shared" si="89"/>
        <v>-0.37971728840161434</v>
      </c>
      <c r="I229" s="363">
        <f t="shared" si="90"/>
        <v>55640.652711463204</v>
      </c>
      <c r="J229" s="366">
        <f t="shared" si="91"/>
        <v>1.5707783543242062</v>
      </c>
      <c r="K229" s="374">
        <f t="shared" si="107"/>
        <v>17.244473042680223</v>
      </c>
      <c r="L229" s="375">
        <f t="shared" si="108"/>
        <v>1.5127741817942248</v>
      </c>
      <c r="M229" s="363">
        <f t="shared" si="92"/>
        <v>1.1340530914769218</v>
      </c>
      <c r="N229" s="366">
        <f t="shared" si="93"/>
        <v>0.49114602242901123</v>
      </c>
      <c r="O229" s="367">
        <f t="shared" si="94"/>
        <v>1.0233217590023109</v>
      </c>
      <c r="P229" s="368">
        <f t="shared" si="95"/>
        <v>0.26167662565099037</v>
      </c>
      <c r="Q229" s="369">
        <f t="shared" si="96"/>
        <v>-6.3494153942641756</v>
      </c>
      <c r="R229" s="370">
        <f t="shared" si="97"/>
        <v>-149.41422550544067</v>
      </c>
      <c r="S229" s="372">
        <f t="shared" si="98"/>
        <v>30.585774494559331</v>
      </c>
      <c r="U229" s="345">
        <f t="shared" si="104"/>
        <v>13413.25</v>
      </c>
      <c r="V229" s="345">
        <f t="shared" si="105"/>
        <v>179915275.5625</v>
      </c>
      <c r="X229" s="371">
        <f t="shared" si="99"/>
        <v>16.829160830423756</v>
      </c>
      <c r="Y229" s="372">
        <f t="shared" si="100"/>
        <v>-31.463988525889455</v>
      </c>
      <c r="AA229" s="371">
        <f t="shared" si="101"/>
        <v>34.322649043146072</v>
      </c>
      <c r="AB229" s="372">
        <f t="shared" si="102"/>
        <v>-117.95023697955118</v>
      </c>
      <c r="AD229">
        <f t="shared" si="106"/>
        <v>0</v>
      </c>
      <c r="AE229">
        <f t="shared" si="109"/>
        <v>0</v>
      </c>
    </row>
    <row r="230" spans="1:31" x14ac:dyDescent="0.2">
      <c r="A230" s="373">
        <v>13490</v>
      </c>
      <c r="B230" s="390">
        <f t="shared" si="103"/>
        <v>13.49</v>
      </c>
      <c r="C230" s="363">
        <f t="shared" si="84"/>
        <v>19.063736986357075</v>
      </c>
      <c r="D230" s="364">
        <f t="shared" si="85"/>
        <v>1.5183166284000416</v>
      </c>
      <c r="E230" s="364">
        <f t="shared" si="86"/>
        <v>1.0051593766008315</v>
      </c>
      <c r="F230" s="365">
        <f t="shared" si="87"/>
        <v>0.10136361465423169</v>
      </c>
      <c r="G230" s="364">
        <f t="shared" si="88"/>
        <v>1.0775419555291443</v>
      </c>
      <c r="H230" s="365">
        <f t="shared" si="89"/>
        <v>-0.38168555412458899</v>
      </c>
      <c r="I230" s="363">
        <f t="shared" si="90"/>
        <v>55959.025968819129</v>
      </c>
      <c r="J230" s="366">
        <f t="shared" si="91"/>
        <v>1.5707784565767728</v>
      </c>
      <c r="K230" s="374">
        <f t="shared" si="107"/>
        <v>17.342814251799428</v>
      </c>
      <c r="L230" s="375">
        <f t="shared" si="108"/>
        <v>1.5131035588539539</v>
      </c>
      <c r="M230" s="363">
        <f t="shared" si="92"/>
        <v>1.1354997194340632</v>
      </c>
      <c r="N230" s="366">
        <f t="shared" si="93"/>
        <v>0.49352267326632476</v>
      </c>
      <c r="O230" s="367">
        <f t="shared" si="94"/>
        <v>1.0235870822870392</v>
      </c>
      <c r="P230" s="368">
        <f t="shared" si="95"/>
        <v>0.26313953482849517</v>
      </c>
      <c r="Q230" s="369">
        <f t="shared" si="96"/>
        <v>-6.4049802913638674</v>
      </c>
      <c r="R230" s="370">
        <f t="shared" si="97"/>
        <v>-149.71247824374899</v>
      </c>
      <c r="S230" s="372">
        <f t="shared" si="98"/>
        <v>30.28752175625101</v>
      </c>
      <c r="U230" s="345">
        <f t="shared" si="104"/>
        <v>13490</v>
      </c>
      <c r="V230" s="345">
        <f t="shared" si="105"/>
        <v>181980100</v>
      </c>
      <c r="X230" s="371">
        <f t="shared" si="99"/>
        <v>16.817922230807596</v>
      </c>
      <c r="Y230" s="372">
        <f t="shared" si="100"/>
        <v>-31.581294531627407</v>
      </c>
      <c r="AA230" s="371">
        <f t="shared" si="101"/>
        <v>34.278322745662535</v>
      </c>
      <c r="AB230" s="372">
        <f t="shared" si="102"/>
        <v>-118.1311837121216</v>
      </c>
      <c r="AD230">
        <f t="shared" si="106"/>
        <v>0</v>
      </c>
      <c r="AE230">
        <f t="shared" si="109"/>
        <v>0</v>
      </c>
    </row>
    <row r="231" spans="1:31" x14ac:dyDescent="0.2">
      <c r="A231" s="373">
        <v>13568.5</v>
      </c>
      <c r="B231" s="390">
        <f t="shared" si="103"/>
        <v>13.5685</v>
      </c>
      <c r="C231" s="363">
        <f t="shared" si="84"/>
        <v>19.174366894944427</v>
      </c>
      <c r="D231" s="364">
        <f t="shared" si="85"/>
        <v>1.5186196951952446</v>
      </c>
      <c r="E231" s="364">
        <f t="shared" si="86"/>
        <v>1.0052194410781945</v>
      </c>
      <c r="F231" s="365">
        <f t="shared" si="87"/>
        <v>0.10194939525872472</v>
      </c>
      <c r="G231" s="364">
        <f t="shared" si="88"/>
        <v>1.0784141154389286</v>
      </c>
      <c r="H231" s="365">
        <f t="shared" si="89"/>
        <v>-0.38369548685712207</v>
      </c>
      <c r="I231" s="363">
        <f t="shared" si="90"/>
        <v>56284.658551261942</v>
      </c>
      <c r="J231" s="366">
        <f t="shared" si="91"/>
        <v>1.5707785599641866</v>
      </c>
      <c r="K231" s="374">
        <f t="shared" si="107"/>
        <v>17.443399692771347</v>
      </c>
      <c r="L231" s="375">
        <f t="shared" si="108"/>
        <v>1.5134366042363836</v>
      </c>
      <c r="M231" s="363">
        <f t="shared" si="92"/>
        <v>1.1369859501631343</v>
      </c>
      <c r="N231" s="366">
        <f t="shared" si="93"/>
        <v>0.49594724456914951</v>
      </c>
      <c r="O231" s="367">
        <f t="shared" si="94"/>
        <v>1.0238599673477986</v>
      </c>
      <c r="P231" s="368">
        <f t="shared" si="95"/>
        <v>0.26463521188391687</v>
      </c>
      <c r="Q231" s="369">
        <f t="shared" si="96"/>
        <v>-6.4615369424656599</v>
      </c>
      <c r="R231" s="370">
        <f t="shared" si="97"/>
        <v>-150.01697811312744</v>
      </c>
      <c r="S231" s="372">
        <f t="shared" si="98"/>
        <v>29.983021886872564</v>
      </c>
      <c r="U231" s="345">
        <f t="shared" si="104"/>
        <v>13568.5</v>
      </c>
      <c r="V231" s="345">
        <f t="shared" si="105"/>
        <v>184104192.25</v>
      </c>
      <c r="X231" s="371">
        <f t="shared" si="99"/>
        <v>16.806394298202434</v>
      </c>
      <c r="Y231" s="372">
        <f t="shared" si="100"/>
        <v>-31.701136063407645</v>
      </c>
      <c r="AA231" s="371">
        <f t="shared" si="101"/>
        <v>34.233294027165904</v>
      </c>
      <c r="AB231" s="372">
        <f t="shared" si="102"/>
        <v>-118.31584204971976</v>
      </c>
      <c r="AD231">
        <f t="shared" si="106"/>
        <v>0</v>
      </c>
      <c r="AE231">
        <f t="shared" si="109"/>
        <v>0</v>
      </c>
    </row>
    <row r="232" spans="1:31" x14ac:dyDescent="0.2">
      <c r="A232" s="373">
        <v>13647</v>
      </c>
      <c r="B232" s="390">
        <f t="shared" si="103"/>
        <v>13.647</v>
      </c>
      <c r="C232" s="363">
        <f t="shared" si="84"/>
        <v>19.284998544481343</v>
      </c>
      <c r="D232" s="364">
        <f t="shared" si="85"/>
        <v>1.5189192848300432</v>
      </c>
      <c r="E232" s="364">
        <f t="shared" si="86"/>
        <v>1.0052798504441796</v>
      </c>
      <c r="F232" s="365">
        <f t="shared" si="87"/>
        <v>0.10253510566261756</v>
      </c>
      <c r="G232" s="364">
        <f t="shared" si="88"/>
        <v>1.0792906249066772</v>
      </c>
      <c r="H232" s="365">
        <f t="shared" si="89"/>
        <v>-0.38570216308722599</v>
      </c>
      <c r="I232" s="363">
        <f t="shared" si="90"/>
        <v>56610.291133705352</v>
      </c>
      <c r="J232" s="366">
        <f t="shared" si="91"/>
        <v>1.5707786621621942</v>
      </c>
      <c r="K232" s="374">
        <f t="shared" si="107"/>
        <v>17.543987046365771</v>
      </c>
      <c r="L232" s="375">
        <f t="shared" si="108"/>
        <v>1.5137658306651993</v>
      </c>
      <c r="M232" s="363">
        <f t="shared" si="92"/>
        <v>1.1384788472426945</v>
      </c>
      <c r="N232" s="366">
        <f t="shared" si="93"/>
        <v>0.49836547133434134</v>
      </c>
      <c r="O232" s="367">
        <f t="shared" si="94"/>
        <v>1.0241343806106591</v>
      </c>
      <c r="P232" s="368">
        <f t="shared" si="95"/>
        <v>0.266130291093988</v>
      </c>
      <c r="Q232" s="369">
        <f t="shared" si="96"/>
        <v>-6.5178184570868698</v>
      </c>
      <c r="R232" s="370">
        <f t="shared" si="97"/>
        <v>-150.32091716677388</v>
      </c>
      <c r="S232" s="372">
        <f t="shared" si="98"/>
        <v>29.679082833226119</v>
      </c>
      <c r="U232" s="345">
        <f t="shared" si="104"/>
        <v>13647</v>
      </c>
      <c r="V232" s="345">
        <f t="shared" si="105"/>
        <v>186240609</v>
      </c>
      <c r="X232" s="371">
        <f t="shared" si="99"/>
        <v>16.794833207145363</v>
      </c>
      <c r="Y232" s="372">
        <f t="shared" si="100"/>
        <v>-31.820832821734715</v>
      </c>
      <c r="AA232" s="371">
        <f t="shared" si="101"/>
        <v>34.188573603601768</v>
      </c>
      <c r="AB232" s="372">
        <f t="shared" si="102"/>
        <v>-118.50008434503917</v>
      </c>
      <c r="AD232">
        <f t="shared" si="106"/>
        <v>0</v>
      </c>
      <c r="AE232">
        <f t="shared" si="109"/>
        <v>0</v>
      </c>
    </row>
    <row r="233" spans="1:31" x14ac:dyDescent="0.2">
      <c r="A233" s="373">
        <v>13725.5</v>
      </c>
      <c r="B233" s="390">
        <f t="shared" si="103"/>
        <v>13.7255</v>
      </c>
      <c r="C233" s="363">
        <f t="shared" si="84"/>
        <v>19.39563190517697</v>
      </c>
      <c r="D233" s="364">
        <f t="shared" si="85"/>
        <v>1.5192154567517258</v>
      </c>
      <c r="E233" s="364">
        <f t="shared" si="86"/>
        <v>1.0053406046366158</v>
      </c>
      <c r="F233" s="365">
        <f t="shared" si="87"/>
        <v>0.10312074547673762</v>
      </c>
      <c r="G233" s="364">
        <f t="shared" si="88"/>
        <v>1.0801714733439907</v>
      </c>
      <c r="H233" s="365">
        <f t="shared" si="89"/>
        <v>-0.38770557460136146</v>
      </c>
      <c r="I233" s="363">
        <f t="shared" si="90"/>
        <v>56935.923716149344</v>
      </c>
      <c r="J233" s="366">
        <f t="shared" si="91"/>
        <v>1.5707787631912036</v>
      </c>
      <c r="K233" s="374">
        <f t="shared" si="107"/>
        <v>17.644576279872524</v>
      </c>
      <c r="L233" s="375">
        <f t="shared" si="108"/>
        <v>1.5140913033823569</v>
      </c>
      <c r="M233" s="363">
        <f t="shared" si="92"/>
        <v>1.1399783844823126</v>
      </c>
      <c r="N233" s="366">
        <f t="shared" si="93"/>
        <v>0.50077735026091397</v>
      </c>
      <c r="O233" s="367">
        <f t="shared" si="94"/>
        <v>1.0244103211633588</v>
      </c>
      <c r="P233" s="368">
        <f t="shared" si="95"/>
        <v>0.26762476959067072</v>
      </c>
      <c r="Q233" s="369">
        <f t="shared" si="96"/>
        <v>-6.5738279653349982</v>
      </c>
      <c r="R233" s="370">
        <f t="shared" si="97"/>
        <v>-150.62429427208539</v>
      </c>
      <c r="S233" s="372">
        <f t="shared" si="98"/>
        <v>29.375705727914607</v>
      </c>
      <c r="U233" s="345">
        <f t="shared" si="104"/>
        <v>13725.5</v>
      </c>
      <c r="V233" s="345">
        <f t="shared" si="105"/>
        <v>188389350.25</v>
      </c>
      <c r="X233" s="371">
        <f t="shared" si="99"/>
        <v>16.7832392532111</v>
      </c>
      <c r="Y233" s="372">
        <f t="shared" si="100"/>
        <v>-31.940380880556532</v>
      </c>
      <c r="AA233" s="371">
        <f t="shared" si="101"/>
        <v>34.144158049287896</v>
      </c>
      <c r="AB233" s="372">
        <f t="shared" si="102"/>
        <v>-118.68391339152886</v>
      </c>
      <c r="AD233">
        <f t="shared" si="106"/>
        <v>0</v>
      </c>
      <c r="AE233">
        <f t="shared" si="109"/>
        <v>0</v>
      </c>
    </row>
    <row r="234" spans="1:31" x14ac:dyDescent="0.2">
      <c r="A234" s="373">
        <v>13804</v>
      </c>
      <c r="B234" s="390">
        <f t="shared" si="103"/>
        <v>13.804</v>
      </c>
      <c r="C234" s="363">
        <f t="shared" si="84"/>
        <v>19.506266947915865</v>
      </c>
      <c r="D234" s="364">
        <f t="shared" si="85"/>
        <v>1.5195082690613251</v>
      </c>
      <c r="E234" s="364">
        <f t="shared" si="86"/>
        <v>1.0054017035929919</v>
      </c>
      <c r="F234" s="365">
        <f t="shared" si="87"/>
        <v>0.10370631431219977</v>
      </c>
      <c r="G234" s="364">
        <f t="shared" si="88"/>
        <v>1.0810566501446508</v>
      </c>
      <c r="H234" s="365">
        <f t="shared" si="89"/>
        <v>-0.38970571331751958</v>
      </c>
      <c r="I234" s="363">
        <f t="shared" si="90"/>
        <v>57261.55629859391</v>
      </c>
      <c r="J234" s="366">
        <f t="shared" si="91"/>
        <v>1.5707788630711579</v>
      </c>
      <c r="K234" s="374">
        <f t="shared" si="107"/>
        <v>17.74516736132253</v>
      </c>
      <c r="L234" s="375">
        <f t="shared" si="108"/>
        <v>1.5144130861537004</v>
      </c>
      <c r="M234" s="363">
        <f t="shared" si="92"/>
        <v>1.1414845357129948</v>
      </c>
      <c r="N234" s="366">
        <f t="shared" si="93"/>
        <v>0.50318287836059772</v>
      </c>
      <c r="O234" s="367">
        <f t="shared" si="94"/>
        <v>1.0246877880896084</v>
      </c>
      <c r="P234" s="368">
        <f t="shared" si="95"/>
        <v>0.26911864451525358</v>
      </c>
      <c r="Q234" s="369">
        <f t="shared" si="96"/>
        <v>-6.62956854112762</v>
      </c>
      <c r="R234" s="370">
        <f t="shared" si="97"/>
        <v>-150.92710832984395</v>
      </c>
      <c r="S234" s="372">
        <f t="shared" si="98"/>
        <v>29.072891670156054</v>
      </c>
      <c r="U234" s="345">
        <f t="shared" si="104"/>
        <v>13804</v>
      </c>
      <c r="V234" s="345">
        <f t="shared" si="105"/>
        <v>190550416</v>
      </c>
      <c r="X234" s="371">
        <f t="shared" si="99"/>
        <v>16.771612732591873</v>
      </c>
      <c r="Y234" s="372">
        <f t="shared" si="100"/>
        <v>-32.059776416286795</v>
      </c>
      <c r="AA234" s="371">
        <f t="shared" si="101"/>
        <v>34.100043994114507</v>
      </c>
      <c r="AB234" s="372">
        <f t="shared" si="102"/>
        <v>-118.86733191355718</v>
      </c>
      <c r="AD234">
        <f t="shared" si="106"/>
        <v>0</v>
      </c>
      <c r="AE234">
        <f t="shared" si="109"/>
        <v>0</v>
      </c>
    </row>
    <row r="235" spans="1:31" x14ac:dyDescent="0.2">
      <c r="A235" s="373">
        <v>13884.25</v>
      </c>
      <c r="B235" s="390">
        <f t="shared" si="103"/>
        <v>13.88425</v>
      </c>
      <c r="C235" s="363">
        <f t="shared" si="84"/>
        <v>19.619370086033083</v>
      </c>
      <c r="D235" s="364">
        <f t="shared" si="85"/>
        <v>1.5198041953779418</v>
      </c>
      <c r="E235" s="364">
        <f t="shared" si="86"/>
        <v>1.0054645209409003</v>
      </c>
      <c r="F235" s="365">
        <f t="shared" si="87"/>
        <v>0.10430486345552525</v>
      </c>
      <c r="G235" s="364">
        <f t="shared" si="88"/>
        <v>1.0819660233001216</v>
      </c>
      <c r="H235" s="365">
        <f t="shared" si="89"/>
        <v>-0.39174704978236469</v>
      </c>
      <c r="I235" s="363">
        <f t="shared" si="90"/>
        <v>57594.448206125402</v>
      </c>
      <c r="J235" s="366">
        <f t="shared" si="91"/>
        <v>1.5707789640102672</v>
      </c>
      <c r="K235" s="374">
        <f t="shared" si="107"/>
        <v>17.848002796769787</v>
      </c>
      <c r="L235" s="375">
        <f t="shared" si="108"/>
        <v>1.5147382930753457</v>
      </c>
      <c r="M235" s="363">
        <f t="shared" si="92"/>
        <v>1.1430310731388371</v>
      </c>
      <c r="N235" s="366">
        <f t="shared" si="93"/>
        <v>0.50563546532188575</v>
      </c>
      <c r="O235" s="367">
        <f t="shared" si="94"/>
        <v>1.0249730174198737</v>
      </c>
      <c r="P235" s="368">
        <f t="shared" si="95"/>
        <v>0.27064519551161426</v>
      </c>
      <c r="Q235" s="369">
        <f t="shared" si="96"/>
        <v>-6.6862768926014917</v>
      </c>
      <c r="R235" s="370">
        <f t="shared" si="97"/>
        <v>-151.2360898938239</v>
      </c>
      <c r="S235" s="372">
        <f t="shared" si="98"/>
        <v>28.763910106176098</v>
      </c>
      <c r="U235" s="345">
        <f t="shared" si="104"/>
        <v>13884.25</v>
      </c>
      <c r="V235" s="345">
        <f t="shared" si="105"/>
        <v>192772398.0625</v>
      </c>
      <c r="X235" s="371">
        <f t="shared" si="99"/>
        <v>16.759693667238061</v>
      </c>
      <c r="Y235" s="372">
        <f t="shared" si="100"/>
        <v>-32.181672097502918</v>
      </c>
      <c r="AA235" s="371">
        <f t="shared" si="101"/>
        <v>34.05525470799445</v>
      </c>
      <c r="AB235" s="372">
        <f t="shared" si="102"/>
        <v>-119.05441779632095</v>
      </c>
      <c r="AD235">
        <f t="shared" si="106"/>
        <v>0</v>
      </c>
      <c r="AE235">
        <f t="shared" si="109"/>
        <v>0</v>
      </c>
    </row>
    <row r="236" spans="1:31" x14ac:dyDescent="0.2">
      <c r="A236" s="373">
        <v>13964.5</v>
      </c>
      <c r="B236" s="390">
        <f t="shared" si="103"/>
        <v>13.964499999999999</v>
      </c>
      <c r="C236" s="363">
        <f t="shared" si="84"/>
        <v>19.732474922569367</v>
      </c>
      <c r="D236" s="364">
        <f t="shared" si="85"/>
        <v>1.5200967292719196</v>
      </c>
      <c r="E236" s="364">
        <f t="shared" si="86"/>
        <v>1.0055276984625285</v>
      </c>
      <c r="F236" s="365">
        <f t="shared" si="87"/>
        <v>0.10490333759929545</v>
      </c>
      <c r="G236" s="364">
        <f t="shared" si="88"/>
        <v>1.0828798974836784</v>
      </c>
      <c r="H236" s="365">
        <f t="shared" si="89"/>
        <v>-0.39378494923961277</v>
      </c>
      <c r="I236" s="363">
        <f t="shared" si="90"/>
        <v>57927.340113657476</v>
      </c>
      <c r="J236" s="366">
        <f t="shared" si="91"/>
        <v>1.57077906378924</v>
      </c>
      <c r="K236" s="374">
        <f t="shared" si="107"/>
        <v>17.950840098186486</v>
      </c>
      <c r="L236" s="375">
        <f t="shared" si="108"/>
        <v>1.5150597739206864</v>
      </c>
      <c r="M236" s="363">
        <f t="shared" si="92"/>
        <v>1.1445844675012857</v>
      </c>
      <c r="N236" s="366">
        <f t="shared" si="93"/>
        <v>0.5080814098136287</v>
      </c>
      <c r="O236" s="367">
        <f t="shared" si="94"/>
        <v>1.0252598399877908</v>
      </c>
      <c r="P236" s="368">
        <f t="shared" si="95"/>
        <v>0.27217110971322228</v>
      </c>
      <c r="Q236" s="369">
        <f t="shared" si="96"/>
        <v>-6.7427105098923859</v>
      </c>
      <c r="R236" s="370">
        <f t="shared" si="97"/>
        <v>-151.54448080828539</v>
      </c>
      <c r="S236" s="372">
        <f t="shared" si="98"/>
        <v>28.455519191714615</v>
      </c>
      <c r="U236" s="345">
        <f t="shared" si="104"/>
        <v>13964.5</v>
      </c>
      <c r="V236" s="345">
        <f t="shared" si="105"/>
        <v>195007260.25</v>
      </c>
      <c r="X236" s="371">
        <f t="shared" si="99"/>
        <v>16.747741194615539</v>
      </c>
      <c r="Y236" s="372">
        <f t="shared" si="100"/>
        <v>-32.303400615223872</v>
      </c>
      <c r="AA236" s="371">
        <f t="shared" si="101"/>
        <v>34.010773563326076</v>
      </c>
      <c r="AB236" s="372">
        <f t="shared" si="102"/>
        <v>-119.24108019306151</v>
      </c>
      <c r="AD236">
        <f t="shared" si="106"/>
        <v>0</v>
      </c>
      <c r="AE236">
        <f t="shared" si="109"/>
        <v>0</v>
      </c>
    </row>
    <row r="237" spans="1:31" x14ac:dyDescent="0.2">
      <c r="A237" s="373">
        <v>14044.75</v>
      </c>
      <c r="B237" s="390">
        <f t="shared" si="103"/>
        <v>14.044750000000001</v>
      </c>
      <c r="C237" s="363">
        <f t="shared" si="84"/>
        <v>19.845581428485591</v>
      </c>
      <c r="D237" s="364">
        <f t="shared" si="85"/>
        <v>1.5203859286963601</v>
      </c>
      <c r="E237" s="364">
        <f t="shared" si="86"/>
        <v>1.0055912360899912</v>
      </c>
      <c r="F237" s="365">
        <f t="shared" si="87"/>
        <v>0.10550173632897421</v>
      </c>
      <c r="G237" s="364">
        <f t="shared" si="88"/>
        <v>1.0837982613093278</v>
      </c>
      <c r="H237" s="365">
        <f t="shared" si="89"/>
        <v>-0.3958194034781945</v>
      </c>
      <c r="I237" s="363">
        <f t="shared" si="90"/>
        <v>58260.232021190117</v>
      </c>
      <c r="J237" s="366">
        <f t="shared" si="91"/>
        <v>1.570779162427963</v>
      </c>
      <c r="K237" s="374">
        <f t="shared" si="107"/>
        <v>18.053679233685838</v>
      </c>
      <c r="L237" s="375">
        <f t="shared" si="108"/>
        <v>1.5153775922972199</v>
      </c>
      <c r="M237" s="363">
        <f t="shared" si="92"/>
        <v>1.1461446909202835</v>
      </c>
      <c r="N237" s="366">
        <f t="shared" si="93"/>
        <v>0.51052070963699092</v>
      </c>
      <c r="O237" s="367">
        <f t="shared" si="94"/>
        <v>1.0255482548014847</v>
      </c>
      <c r="P237" s="368">
        <f t="shared" si="95"/>
        <v>0.27369638409630331</v>
      </c>
      <c r="Q237" s="369">
        <f t="shared" si="96"/>
        <v>-6.7988725034541648</v>
      </c>
      <c r="R237" s="370">
        <f t="shared" si="97"/>
        <v>-151.85228000445292</v>
      </c>
      <c r="S237" s="372">
        <f t="shared" si="98"/>
        <v>28.147719995547078</v>
      </c>
      <c r="U237" s="345">
        <f t="shared" si="104"/>
        <v>14044.75</v>
      </c>
      <c r="V237" s="345">
        <f t="shared" si="105"/>
        <v>197255002.5625</v>
      </c>
      <c r="X237" s="371">
        <f t="shared" si="99"/>
        <v>16.735755632650566</v>
      </c>
      <c r="Y237" s="372">
        <f t="shared" si="100"/>
        <v>-32.4249582001639</v>
      </c>
      <c r="AA237" s="371">
        <f t="shared" si="101"/>
        <v>33.966597131729273</v>
      </c>
      <c r="AB237" s="372">
        <f t="shared" si="102"/>
        <v>-119.42732180428901</v>
      </c>
      <c r="AD237">
        <f t="shared" si="106"/>
        <v>0</v>
      </c>
      <c r="AE237">
        <f t="shared" si="109"/>
        <v>0</v>
      </c>
    </row>
    <row r="238" spans="1:31" x14ac:dyDescent="0.2">
      <c r="A238" s="373">
        <v>14125</v>
      </c>
      <c r="B238" s="390">
        <f t="shared" si="103"/>
        <v>14.125</v>
      </c>
      <c r="C238" s="363">
        <f t="shared" si="84"/>
        <v>19.958689575400481</v>
      </c>
      <c r="D238" s="364">
        <f t="shared" si="85"/>
        <v>1.5206718502929177</v>
      </c>
      <c r="E238" s="364">
        <f t="shared" si="86"/>
        <v>1.0056551337550339</v>
      </c>
      <c r="F238" s="365">
        <f t="shared" si="87"/>
        <v>0.10610005923034595</v>
      </c>
      <c r="G238" s="364">
        <f t="shared" si="88"/>
        <v>1.0847211033737933</v>
      </c>
      <c r="H238" s="365">
        <f t="shared" si="89"/>
        <v>-0.39785040442885689</v>
      </c>
      <c r="I238" s="363">
        <f t="shared" si="90"/>
        <v>58593.123928723326</v>
      </c>
      <c r="J238" s="366">
        <f t="shared" si="91"/>
        <v>1.5707792599458708</v>
      </c>
      <c r="K238" s="374">
        <f t="shared" si="107"/>
        <v>18.156520172102926</v>
      </c>
      <c r="L238" s="375">
        <f t="shared" si="108"/>
        <v>1.5156918103743171</v>
      </c>
      <c r="M238" s="363">
        <f t="shared" si="92"/>
        <v>1.1477117155451417</v>
      </c>
      <c r="N238" s="366">
        <f t="shared" si="93"/>
        <v>0.51295336292136084</v>
      </c>
      <c r="O238" s="367">
        <f t="shared" si="94"/>
        <v>1.0258382608647658</v>
      </c>
      <c r="P238" s="368">
        <f t="shared" si="95"/>
        <v>0.27522101564739865</v>
      </c>
      <c r="Q238" s="369">
        <f t="shared" si="96"/>
        <v>-6.8547659279370201</v>
      </c>
      <c r="R238" s="370">
        <f t="shared" si="97"/>
        <v>-152.15948644828714</v>
      </c>
      <c r="S238" s="372">
        <f t="shared" si="98"/>
        <v>27.84051355171286</v>
      </c>
      <c r="U238" s="345">
        <f t="shared" si="104"/>
        <v>14125</v>
      </c>
      <c r="V238" s="345">
        <f t="shared" si="105"/>
        <v>199515625</v>
      </c>
      <c r="X238" s="371">
        <f t="shared" si="99"/>
        <v>16.723737299602206</v>
      </c>
      <c r="Y238" s="372">
        <f t="shared" si="100"/>
        <v>-32.546341184215777</v>
      </c>
      <c r="AA238" s="371">
        <f t="shared" si="101"/>
        <v>33.922722040294779</v>
      </c>
      <c r="AB238" s="372">
        <f t="shared" si="102"/>
        <v>-119.61314526407135</v>
      </c>
      <c r="AD238">
        <f t="shared" si="106"/>
        <v>0</v>
      </c>
      <c r="AE238">
        <f t="shared" si="109"/>
        <v>0</v>
      </c>
    </row>
    <row r="239" spans="1:31" x14ac:dyDescent="0.2">
      <c r="A239" s="373">
        <v>14207.25</v>
      </c>
      <c r="B239" s="390">
        <f t="shared" si="103"/>
        <v>14.20725</v>
      </c>
      <c r="C239" s="363">
        <f t="shared" si="84"/>
        <v>20.074618290773827</v>
      </c>
      <c r="D239" s="364">
        <f t="shared" si="85"/>
        <v>1.5209615542031265</v>
      </c>
      <c r="E239" s="364">
        <f t="shared" si="86"/>
        <v>1.0057209974221843</v>
      </c>
      <c r="F239" s="365">
        <f t="shared" si="87"/>
        <v>0.10671321448627559</v>
      </c>
      <c r="G239" s="364">
        <f t="shared" si="88"/>
        <v>1.0856715797087617</v>
      </c>
      <c r="H239" s="365">
        <f t="shared" si="89"/>
        <v>-0.39992843047622412</v>
      </c>
      <c r="I239" s="363">
        <f t="shared" si="90"/>
        <v>58934.312207784409</v>
      </c>
      <c r="J239" s="366">
        <f t="shared" si="91"/>
        <v>1.5707793587509409</v>
      </c>
      <c r="K239" s="374">
        <f t="shared" si="107"/>
        <v>18.261925963568238</v>
      </c>
      <c r="L239" s="375">
        <f t="shared" si="108"/>
        <v>1.5160101870006686</v>
      </c>
      <c r="M239" s="363">
        <f t="shared" si="92"/>
        <v>1.1493248222037922</v>
      </c>
      <c r="N239" s="366">
        <f t="shared" si="93"/>
        <v>0.5154397443917379</v>
      </c>
      <c r="O239" s="367">
        <f t="shared" si="94"/>
        <v>1.026137144676365</v>
      </c>
      <c r="P239" s="368">
        <f t="shared" si="95"/>
        <v>0.27678297404164148</v>
      </c>
      <c r="Q239" s="369">
        <f t="shared" si="96"/>
        <v>-6.9117767812678563</v>
      </c>
      <c r="R239" s="370">
        <f t="shared" si="97"/>
        <v>-152.4737329862962</v>
      </c>
      <c r="S239" s="372">
        <f t="shared" si="98"/>
        <v>27.526267013703801</v>
      </c>
      <c r="U239" s="345">
        <f t="shared" si="104"/>
        <v>14207.25</v>
      </c>
      <c r="V239" s="345">
        <f t="shared" si="105"/>
        <v>201845952.5625</v>
      </c>
      <c r="X239" s="371">
        <f t="shared" si="99"/>
        <v>16.711385771152994</v>
      </c>
      <c r="Y239" s="372">
        <f t="shared" si="100"/>
        <v>-32.670564372997816</v>
      </c>
      <c r="AA239" s="371">
        <f t="shared" si="101"/>
        <v>33.878062715413151</v>
      </c>
      <c r="AB239" s="372">
        <f t="shared" si="102"/>
        <v>-119.80316861329838</v>
      </c>
      <c r="AD239">
        <f t="shared" si="106"/>
        <v>0</v>
      </c>
      <c r="AE239">
        <f t="shared" si="109"/>
        <v>0</v>
      </c>
    </row>
    <row r="240" spans="1:31" x14ac:dyDescent="0.2">
      <c r="A240" s="373">
        <v>14289.5</v>
      </c>
      <c r="B240" s="390">
        <f t="shared" si="103"/>
        <v>14.2895</v>
      </c>
      <c r="C240" s="363">
        <f t="shared" si="84"/>
        <v>20.190548671629113</v>
      </c>
      <c r="D240" s="364">
        <f t="shared" si="85"/>
        <v>1.5212479312850387</v>
      </c>
      <c r="E240" s="364">
        <f t="shared" si="86"/>
        <v>1.0057872391499614</v>
      </c>
      <c r="F240" s="365">
        <f t="shared" si="87"/>
        <v>0.10732628920715347</v>
      </c>
      <c r="G240" s="364">
        <f t="shared" si="88"/>
        <v>1.0866267359690744</v>
      </c>
      <c r="H240" s="365">
        <f t="shared" si="89"/>
        <v>-0.40200281225484336</v>
      </c>
      <c r="I240" s="363">
        <f t="shared" si="90"/>
        <v>59275.50048684606</v>
      </c>
      <c r="J240" s="366">
        <f t="shared" si="91"/>
        <v>1.570779456418572</v>
      </c>
      <c r="K240" s="374">
        <f t="shared" si="107"/>
        <v>18.367333584883383</v>
      </c>
      <c r="L240" s="375">
        <f t="shared" si="108"/>
        <v>1.5163249094185816</v>
      </c>
      <c r="M240" s="363">
        <f t="shared" si="92"/>
        <v>1.1509450141529141</v>
      </c>
      <c r="N240" s="366">
        <f t="shared" si="93"/>
        <v>0.51791914096696845</v>
      </c>
      <c r="O240" s="367">
        <f t="shared" si="94"/>
        <v>1.0264376979077046</v>
      </c>
      <c r="P240" s="368">
        <f t="shared" si="95"/>
        <v>0.27834425078656549</v>
      </c>
      <c r="Q240" s="369">
        <f t="shared" si="96"/>
        <v>-6.9685118355142954</v>
      </c>
      <c r="R240" s="370">
        <f t="shared" si="97"/>
        <v>-152.78735476909313</v>
      </c>
      <c r="S240" s="372">
        <f t="shared" si="98"/>
        <v>27.212645230906872</v>
      </c>
      <c r="U240" s="345">
        <f t="shared" si="104"/>
        <v>14289.5</v>
      </c>
      <c r="V240" s="345">
        <f t="shared" si="105"/>
        <v>204189810.25</v>
      </c>
      <c r="X240" s="371">
        <f t="shared" si="99"/>
        <v>16.699000495522384</v>
      </c>
      <c r="Y240" s="372">
        <f t="shared" si="100"/>
        <v>-32.79459666231795</v>
      </c>
      <c r="AA240" s="371">
        <f t="shared" si="101"/>
        <v>33.833712936797326</v>
      </c>
      <c r="AB240" s="372">
        <f t="shared" si="102"/>
        <v>-119.9927581067752</v>
      </c>
      <c r="AD240">
        <f t="shared" si="106"/>
        <v>0</v>
      </c>
      <c r="AE240">
        <f t="shared" si="109"/>
        <v>0</v>
      </c>
    </row>
    <row r="241" spans="1:31" x14ac:dyDescent="0.2">
      <c r="A241" s="373">
        <v>14371.75</v>
      </c>
      <c r="B241" s="390">
        <f t="shared" si="103"/>
        <v>14.37175</v>
      </c>
      <c r="C241" s="363">
        <f t="shared" si="84"/>
        <v>20.306480689441461</v>
      </c>
      <c r="D241" s="364">
        <f t="shared" si="85"/>
        <v>1.521531038471003</v>
      </c>
      <c r="E241" s="364">
        <f t="shared" si="86"/>
        <v>1.0058538588636723</v>
      </c>
      <c r="F241" s="365">
        <f t="shared" si="87"/>
        <v>0.10793928294807521</v>
      </c>
      <c r="G241" s="364">
        <f t="shared" si="88"/>
        <v>1.0875865598245131</v>
      </c>
      <c r="H241" s="365">
        <f t="shared" si="89"/>
        <v>-0.40407354153747921</v>
      </c>
      <c r="I241" s="363">
        <f t="shared" si="90"/>
        <v>59616.688765908271</v>
      </c>
      <c r="J241" s="366">
        <f t="shared" si="91"/>
        <v>1.5707795529682929</v>
      </c>
      <c r="K241" s="374">
        <f t="shared" si="107"/>
        <v>18.472743004724361</v>
      </c>
      <c r="L241" s="375">
        <f t="shared" si="108"/>
        <v>1.5166360401202525</v>
      </c>
      <c r="M241" s="363">
        <f t="shared" si="92"/>
        <v>1.1525722615127396</v>
      </c>
      <c r="N241" s="366">
        <f t="shared" si="93"/>
        <v>0.52039155168404572</v>
      </c>
      <c r="O241" s="367">
        <f t="shared" si="94"/>
        <v>1.0267399194722748</v>
      </c>
      <c r="P241" s="368">
        <f t="shared" si="95"/>
        <v>0.27990484267168414</v>
      </c>
      <c r="Q241" s="369">
        <f t="shared" si="96"/>
        <v>-7.0249742054451092</v>
      </c>
      <c r="R241" s="370">
        <f t="shared" si="97"/>
        <v>-153.10035079422275</v>
      </c>
      <c r="S241" s="372">
        <f t="shared" si="98"/>
        <v>26.899649205777251</v>
      </c>
      <c r="U241" s="345">
        <f t="shared" si="104"/>
        <v>14371.75</v>
      </c>
      <c r="V241" s="345">
        <f t="shared" si="105"/>
        <v>206547198.0625</v>
      </c>
      <c r="X241" s="371">
        <f t="shared" si="99"/>
        <v>16.686581815942205</v>
      </c>
      <c r="Y241" s="372">
        <f t="shared" si="100"/>
        <v>-32.918434417579711</v>
      </c>
      <c r="AA241" s="371">
        <f t="shared" si="101"/>
        <v>33.789669246446685</v>
      </c>
      <c r="AB241" s="372">
        <f t="shared" si="102"/>
        <v>-120.18191637664302</v>
      </c>
      <c r="AD241">
        <f t="shared" si="106"/>
        <v>0</v>
      </c>
      <c r="AE241">
        <f t="shared" si="109"/>
        <v>0</v>
      </c>
    </row>
    <row r="242" spans="1:31" x14ac:dyDescent="0.2">
      <c r="A242" s="373">
        <v>14454</v>
      </c>
      <c r="B242" s="390">
        <f t="shared" si="103"/>
        <v>14.454000000000001</v>
      </c>
      <c r="C242" s="363">
        <f t="shared" si="84"/>
        <v>20.422414316333306</v>
      </c>
      <c r="D242" s="364">
        <f t="shared" si="85"/>
        <v>1.5218109314027219</v>
      </c>
      <c r="E242" s="364">
        <f t="shared" si="86"/>
        <v>1.0059208564882176</v>
      </c>
      <c r="F242" s="365">
        <f t="shared" si="87"/>
        <v>0.10855219526449746</v>
      </c>
      <c r="G242" s="364">
        <f t="shared" si="88"/>
        <v>1.0885510389281996</v>
      </c>
      <c r="H242" s="365">
        <f t="shared" si="89"/>
        <v>-0.4061406102511349</v>
      </c>
      <c r="I242" s="363">
        <f t="shared" si="90"/>
        <v>59957.877044971036</v>
      </c>
      <c r="J242" s="366">
        <f t="shared" si="91"/>
        <v>1.570779648419188</v>
      </c>
      <c r="K242" s="374">
        <f t="shared" si="107"/>
        <v>18.578154192477538</v>
      </c>
      <c r="L242" s="375">
        <f t="shared" si="108"/>
        <v>1.5169436401823901</v>
      </c>
      <c r="M242" s="363">
        <f t="shared" si="92"/>
        <v>1.1542065344422539</v>
      </c>
      <c r="N242" s="366">
        <f t="shared" si="93"/>
        <v>0.52285697592700608</v>
      </c>
      <c r="O242" s="367">
        <f t="shared" si="94"/>
        <v>1.0270438082789015</v>
      </c>
      <c r="P242" s="368">
        <f t="shared" si="95"/>
        <v>0.28146474649803188</v>
      </c>
      <c r="Q242" s="369">
        <f t="shared" si="96"/>
        <v>-7.0811669498521423</v>
      </c>
      <c r="R242" s="370">
        <f t="shared" si="97"/>
        <v>-153.41272009571802</v>
      </c>
      <c r="S242" s="372">
        <f t="shared" si="98"/>
        <v>26.587279904281985</v>
      </c>
      <c r="U242" s="345">
        <f t="shared" si="104"/>
        <v>14454</v>
      </c>
      <c r="V242" s="345">
        <f t="shared" si="105"/>
        <v>208918116</v>
      </c>
      <c r="X242" s="371">
        <f t="shared" si="99"/>
        <v>16.674130075677731</v>
      </c>
      <c r="Y242" s="372">
        <f t="shared" si="100"/>
        <v>-33.042074105146874</v>
      </c>
      <c r="AA242" s="371">
        <f t="shared" si="101"/>
        <v>33.745928242304132</v>
      </c>
      <c r="AB242" s="372">
        <f t="shared" si="102"/>
        <v>-120.37064599057119</v>
      </c>
      <c r="AD242">
        <f t="shared" si="106"/>
        <v>0</v>
      </c>
      <c r="AE242">
        <f t="shared" si="109"/>
        <v>0</v>
      </c>
    </row>
    <row r="243" spans="1:31" x14ac:dyDescent="0.2">
      <c r="A243" s="373">
        <v>14622.5</v>
      </c>
      <c r="B243" s="390">
        <f t="shared" si="103"/>
        <v>14.6225</v>
      </c>
      <c r="C243" s="363">
        <f t="shared" si="84"/>
        <v>20.659924590247353</v>
      </c>
      <c r="D243" s="364">
        <f t="shared" si="85"/>
        <v>1.5223745195844716</v>
      </c>
      <c r="E243" s="364">
        <f t="shared" si="86"/>
        <v>1.0060592897878033</v>
      </c>
      <c r="F243" s="365">
        <f t="shared" si="87"/>
        <v>0.10980757104231473</v>
      </c>
      <c r="G243" s="364">
        <f t="shared" si="88"/>
        <v>1.0905413870135545</v>
      </c>
      <c r="H243" s="365">
        <f t="shared" si="89"/>
        <v>-0.41036380952126622</v>
      </c>
      <c r="I243" s="363">
        <f t="shared" si="90"/>
        <v>60656.846346152954</v>
      </c>
      <c r="J243" s="366">
        <f t="shared" si="91"/>
        <v>1.5707798406097373</v>
      </c>
      <c r="K243" s="374">
        <f t="shared" si="107"/>
        <v>18.794108343341779</v>
      </c>
      <c r="L243" s="375">
        <f t="shared" si="108"/>
        <v>1.5175630243508702</v>
      </c>
      <c r="M243" s="363">
        <f t="shared" si="92"/>
        <v>1.1575763722666352</v>
      </c>
      <c r="N243" s="366">
        <f t="shared" si="93"/>
        <v>0.52788590558611648</v>
      </c>
      <c r="O243" s="367">
        <f t="shared" si="94"/>
        <v>1.0276715664578686</v>
      </c>
      <c r="P243" s="368">
        <f t="shared" si="95"/>
        <v>0.28465825367052955</v>
      </c>
      <c r="Q243" s="369">
        <f t="shared" si="96"/>
        <v>-7.1954558412531853</v>
      </c>
      <c r="R243" s="370">
        <f t="shared" si="97"/>
        <v>-154.05068892181438</v>
      </c>
      <c r="S243" s="372">
        <f t="shared" si="98"/>
        <v>25.949311078185616</v>
      </c>
      <c r="U243" s="345">
        <f t="shared" si="104"/>
        <v>14622.5</v>
      </c>
      <c r="V243" s="345">
        <f t="shared" si="105"/>
        <v>213817506.25</v>
      </c>
      <c r="X243" s="371">
        <f t="shared" si="99"/>
        <v>16.648519245016612</v>
      </c>
      <c r="Y243" s="372">
        <f t="shared" si="100"/>
        <v>-33.294733463326978</v>
      </c>
      <c r="AA243" s="371">
        <f t="shared" si="101"/>
        <v>33.657250181564201</v>
      </c>
      <c r="AB243" s="372">
        <f t="shared" si="102"/>
        <v>-120.75595545848739</v>
      </c>
      <c r="AD243">
        <f t="shared" si="106"/>
        <v>0</v>
      </c>
      <c r="AE243">
        <f t="shared" si="109"/>
        <v>0</v>
      </c>
    </row>
    <row r="244" spans="1:31" x14ac:dyDescent="0.2">
      <c r="A244" s="373">
        <v>14706.75</v>
      </c>
      <c r="B244" s="390">
        <f t="shared" si="103"/>
        <v>14.70675</v>
      </c>
      <c r="C244" s="363">
        <f t="shared" si="84"/>
        <v>20.778682145853402</v>
      </c>
      <c r="D244" s="364">
        <f t="shared" si="85"/>
        <v>1.5226514820695927</v>
      </c>
      <c r="E244" s="364">
        <f t="shared" si="86"/>
        <v>1.0061291008837294</v>
      </c>
      <c r="F244" s="365">
        <f t="shared" si="87"/>
        <v>0.11043512889136446</v>
      </c>
      <c r="G244" s="364">
        <f t="shared" si="88"/>
        <v>1.0915438349170168</v>
      </c>
      <c r="H244" s="365">
        <f t="shared" si="89"/>
        <v>-0.41246961486699663</v>
      </c>
      <c r="I244" s="363">
        <f t="shared" si="90"/>
        <v>61006.330996744742</v>
      </c>
      <c r="J244" s="366">
        <f t="shared" si="91"/>
        <v>1.5707799350535199</v>
      </c>
      <c r="K244" s="374">
        <f t="shared" si="107"/>
        <v>18.902088076229344</v>
      </c>
      <c r="L244" s="375">
        <f t="shared" si="108"/>
        <v>1.517867409082915</v>
      </c>
      <c r="M244" s="363">
        <f t="shared" si="92"/>
        <v>1.1592722214585132</v>
      </c>
      <c r="N244" s="366">
        <f t="shared" si="93"/>
        <v>0.53038937498858196</v>
      </c>
      <c r="O244" s="367">
        <f t="shared" si="94"/>
        <v>1.0279880648251074</v>
      </c>
      <c r="P244" s="368">
        <f t="shared" si="95"/>
        <v>0.28625391082949797</v>
      </c>
      <c r="Q244" s="369">
        <f t="shared" si="96"/>
        <v>-7.2521885376183359</v>
      </c>
      <c r="R244" s="370">
        <f t="shared" si="97"/>
        <v>-154.36868314869011</v>
      </c>
      <c r="S244" s="372">
        <f t="shared" si="98"/>
        <v>25.63131685130989</v>
      </c>
      <c r="U244" s="345">
        <f t="shared" si="104"/>
        <v>14706.75</v>
      </c>
      <c r="V244" s="345">
        <f t="shared" si="105"/>
        <v>216288495.5625</v>
      </c>
      <c r="X244" s="371">
        <f t="shared" si="99"/>
        <v>16.635663259438211</v>
      </c>
      <c r="Y244" s="372">
        <f t="shared" si="100"/>
        <v>-33.420737145108113</v>
      </c>
      <c r="AA244" s="371">
        <f t="shared" si="101"/>
        <v>33.613373470777454</v>
      </c>
      <c r="AB244" s="372">
        <f t="shared" si="102"/>
        <v>-120.94794600358199</v>
      </c>
      <c r="AD244">
        <f t="shared" si="106"/>
        <v>0</v>
      </c>
      <c r="AE244">
        <f t="shared" si="109"/>
        <v>0</v>
      </c>
    </row>
    <row r="245" spans="1:31" x14ac:dyDescent="0.2">
      <c r="A245" s="373">
        <v>14791</v>
      </c>
      <c r="B245" s="390">
        <f t="shared" si="103"/>
        <v>14.791</v>
      </c>
      <c r="C245" s="363">
        <f t="shared" si="84"/>
        <v>20.897441277239242</v>
      </c>
      <c r="D245" s="364">
        <f t="shared" si="85"/>
        <v>1.5229252966471463</v>
      </c>
      <c r="E245" s="364">
        <f t="shared" si="86"/>
        <v>1.0061993081672518</v>
      </c>
      <c r="F245" s="365">
        <f t="shared" si="87"/>
        <v>0.11106259941214447</v>
      </c>
      <c r="G245" s="364">
        <f t="shared" si="88"/>
        <v>1.0925511142852404</v>
      </c>
      <c r="H245" s="365">
        <f t="shared" si="89"/>
        <v>-0.41457154661760159</v>
      </c>
      <c r="I245" s="363">
        <f t="shared" si="90"/>
        <v>61355.815647337069</v>
      </c>
      <c r="J245" s="366">
        <f t="shared" si="91"/>
        <v>1.5707800284213929</v>
      </c>
      <c r="K245" s="374">
        <f t="shared" si="107"/>
        <v>19.010069540501505</v>
      </c>
      <c r="L245" s="375">
        <f t="shared" si="108"/>
        <v>1.5181683358953035</v>
      </c>
      <c r="M245" s="363">
        <f t="shared" si="92"/>
        <v>1.160975314973312</v>
      </c>
      <c r="N245" s="366">
        <f t="shared" si="93"/>
        <v>0.53288551506487147</v>
      </c>
      <c r="O245" s="367">
        <f t="shared" si="94"/>
        <v>1.0283063077887775</v>
      </c>
      <c r="P245" s="368">
        <f t="shared" si="95"/>
        <v>0.28784883251614263</v>
      </c>
      <c r="Q245" s="369">
        <f t="shared" si="96"/>
        <v>-7.3086508294214303</v>
      </c>
      <c r="R245" s="370">
        <f t="shared" si="97"/>
        <v>-154.68601606027667</v>
      </c>
      <c r="S245" s="372">
        <f t="shared" si="98"/>
        <v>25.313983939723329</v>
      </c>
      <c r="U245" s="345">
        <f t="shared" si="104"/>
        <v>14791</v>
      </c>
      <c r="V245" s="345">
        <f t="shared" si="105"/>
        <v>218773681</v>
      </c>
      <c r="X245" s="371">
        <f t="shared" si="99"/>
        <v>16.62277405145047</v>
      </c>
      <c r="Y245" s="372">
        <f t="shared" si="100"/>
        <v>-33.546518949989562</v>
      </c>
      <c r="AA245" s="371">
        <f t="shared" si="101"/>
        <v>33.5698003869621</v>
      </c>
      <c r="AB245" s="372">
        <f t="shared" si="102"/>
        <v>-121.13949711028711</v>
      </c>
      <c r="AD245">
        <f t="shared" si="106"/>
        <v>0</v>
      </c>
      <c r="AE245">
        <f t="shared" si="109"/>
        <v>0</v>
      </c>
    </row>
    <row r="246" spans="1:31" x14ac:dyDescent="0.2">
      <c r="A246" s="373">
        <v>14877.25</v>
      </c>
      <c r="B246" s="390">
        <f t="shared" si="103"/>
        <v>14.87725</v>
      </c>
      <c r="C246" s="363">
        <f t="shared" si="84"/>
        <v>21.019021220939052</v>
      </c>
      <c r="D246" s="364">
        <f t="shared" si="85"/>
        <v>1.5232024060554841</v>
      </c>
      <c r="E246" s="364">
        <f t="shared" si="86"/>
        <v>1.0062715924127341</v>
      </c>
      <c r="F246" s="365">
        <f t="shared" si="87"/>
        <v>0.11170487441633001</v>
      </c>
      <c r="G246" s="364">
        <f t="shared" si="88"/>
        <v>1.0935872962568089</v>
      </c>
      <c r="H246" s="365">
        <f t="shared" si="89"/>
        <v>-0.41671935505075847</v>
      </c>
      <c r="I246" s="363">
        <f t="shared" si="90"/>
        <v>61713.596669457358</v>
      </c>
      <c r="J246" s="366">
        <f t="shared" si="91"/>
        <v>1.5707801229102745</v>
      </c>
      <c r="K246" s="374">
        <f t="shared" si="107"/>
        <v>19.120616125873479</v>
      </c>
      <c r="L246" s="375">
        <f t="shared" si="108"/>
        <v>1.518472885457258</v>
      </c>
      <c r="M246" s="363">
        <f t="shared" si="92"/>
        <v>1.1627263090925175</v>
      </c>
      <c r="N246" s="366">
        <f t="shared" si="93"/>
        <v>0.53543331954025553</v>
      </c>
      <c r="O246" s="367">
        <f t="shared" si="94"/>
        <v>1.0286339114410394</v>
      </c>
      <c r="P246" s="368">
        <f t="shared" si="95"/>
        <v>0.28948085045349858</v>
      </c>
      <c r="Q246" s="369">
        <f t="shared" si="96"/>
        <v>-7.3661764975786745</v>
      </c>
      <c r="R246" s="370">
        <f t="shared" si="97"/>
        <v>-155.01019616422991</v>
      </c>
      <c r="S246" s="372">
        <f t="shared" si="98"/>
        <v>24.98980383577009</v>
      </c>
      <c r="U246" s="345">
        <f t="shared" si="104"/>
        <v>14877.25</v>
      </c>
      <c r="V246" s="345">
        <f t="shared" si="105"/>
        <v>221332567.5625</v>
      </c>
      <c r="X246" s="371">
        <f t="shared" si="99"/>
        <v>16.609544837532695</v>
      </c>
      <c r="Y246" s="372">
        <f t="shared" si="100"/>
        <v>-33.675053402862055</v>
      </c>
      <c r="AA246" s="371">
        <f t="shared" si="101"/>
        <v>33.525503932722629</v>
      </c>
      <c r="AB246" s="372">
        <f t="shared" si="102"/>
        <v>-121.33514276136786</v>
      </c>
      <c r="AD246">
        <f t="shared" si="106"/>
        <v>0</v>
      </c>
      <c r="AE246">
        <f t="shared" si="109"/>
        <v>0</v>
      </c>
    </row>
    <row r="247" spans="1:31" x14ac:dyDescent="0.2">
      <c r="A247" s="373">
        <v>14963.5</v>
      </c>
      <c r="B247" s="390">
        <f t="shared" si="103"/>
        <v>14.9635</v>
      </c>
      <c r="C247" s="363">
        <f t="shared" si="84"/>
        <v>21.140602760116764</v>
      </c>
      <c r="D247" s="364">
        <f t="shared" si="85"/>
        <v>1.5234763281215729</v>
      </c>
      <c r="E247" s="364">
        <f t="shared" si="86"/>
        <v>1.0063442917028045</v>
      </c>
      <c r="F247" s="365">
        <f t="shared" si="87"/>
        <v>0.11234705688825351</v>
      </c>
      <c r="G247" s="364">
        <f t="shared" si="88"/>
        <v>1.0946285134707772</v>
      </c>
      <c r="H247" s="365">
        <f t="shared" si="89"/>
        <v>-0.41886308734093508</v>
      </c>
      <c r="I247" s="363">
        <f t="shared" si="90"/>
        <v>62071.377691578185</v>
      </c>
      <c r="J247" s="366">
        <f t="shared" si="91"/>
        <v>1.5707802163098834</v>
      </c>
      <c r="K247" s="374">
        <f t="shared" si="107"/>
        <v>19.231164464302228</v>
      </c>
      <c r="L247" s="375">
        <f t="shared" si="108"/>
        <v>1.5187739337042314</v>
      </c>
      <c r="M247" s="363">
        <f t="shared" si="92"/>
        <v>1.1644848280992177</v>
      </c>
      <c r="N247" s="366">
        <f t="shared" si="93"/>
        <v>0.53797344545058412</v>
      </c>
      <c r="O247" s="367">
        <f t="shared" si="94"/>
        <v>1.0289633409564583</v>
      </c>
      <c r="P247" s="368">
        <f t="shared" si="95"/>
        <v>0.29111209044231801</v>
      </c>
      <c r="Q247" s="369">
        <f t="shared" si="96"/>
        <v>-7.4234250807682924</v>
      </c>
      <c r="R247" s="370">
        <f t="shared" si="97"/>
        <v>-155.33368142846447</v>
      </c>
      <c r="S247" s="372">
        <f t="shared" si="98"/>
        <v>24.666318571535527</v>
      </c>
      <c r="U247" s="345">
        <f t="shared" si="104"/>
        <v>14963.5</v>
      </c>
      <c r="V247" s="345">
        <f t="shared" si="105"/>
        <v>223906332.25</v>
      </c>
      <c r="X247" s="371">
        <f t="shared" si="99"/>
        <v>16.596281584946293</v>
      </c>
      <c r="Y247" s="372">
        <f t="shared" si="100"/>
        <v>-33.803348454524318</v>
      </c>
      <c r="AA247" s="371">
        <f t="shared" si="101"/>
        <v>33.481518602119415</v>
      </c>
      <c r="AB247" s="372">
        <f t="shared" si="102"/>
        <v>-121.53033297394013</v>
      </c>
      <c r="AD247">
        <f t="shared" si="106"/>
        <v>0</v>
      </c>
      <c r="AE247">
        <f t="shared" si="109"/>
        <v>0</v>
      </c>
    </row>
    <row r="248" spans="1:31" x14ac:dyDescent="0.2">
      <c r="A248" s="373">
        <v>15049.75</v>
      </c>
      <c r="B248" s="390">
        <f t="shared" si="103"/>
        <v>15.04975</v>
      </c>
      <c r="C248" s="363">
        <f t="shared" si="84"/>
        <v>21.262185867402561</v>
      </c>
      <c r="D248" s="364">
        <f t="shared" si="85"/>
        <v>1.5237471174822848</v>
      </c>
      <c r="E248" s="364">
        <f t="shared" si="86"/>
        <v>1.0064174059475197</v>
      </c>
      <c r="F248" s="365">
        <f t="shared" si="87"/>
        <v>0.11298914631835508</v>
      </c>
      <c r="G248" s="364">
        <f t="shared" si="88"/>
        <v>1.0956747515722074</v>
      </c>
      <c r="H248" s="365">
        <f t="shared" si="89"/>
        <v>-0.42100273543350381</v>
      </c>
      <c r="I248" s="363">
        <f t="shared" si="90"/>
        <v>62429.158713699551</v>
      </c>
      <c r="J248" s="366">
        <f t="shared" si="91"/>
        <v>1.5707803086389476</v>
      </c>
      <c r="K248" s="374">
        <f t="shared" si="107"/>
        <v>19.341714525728751</v>
      </c>
      <c r="L248" s="375">
        <f t="shared" si="108"/>
        <v>1.5190715406178332</v>
      </c>
      <c r="M248" s="363">
        <f t="shared" si="92"/>
        <v>1.1662508379544467</v>
      </c>
      <c r="N248" s="366">
        <f t="shared" si="93"/>
        <v>0.54050589482516187</v>
      </c>
      <c r="O248" s="367">
        <f t="shared" si="94"/>
        <v>1.0292945950390611</v>
      </c>
      <c r="P248" s="368">
        <f t="shared" si="95"/>
        <v>0.29274254889022094</v>
      </c>
      <c r="Q248" s="369">
        <f t="shared" si="96"/>
        <v>-7.4803996853323484</v>
      </c>
      <c r="R248" s="370">
        <f t="shared" si="97"/>
        <v>-155.65647102596432</v>
      </c>
      <c r="S248" s="372">
        <f t="shared" si="98"/>
        <v>24.343528974035678</v>
      </c>
      <c r="U248" s="345">
        <f t="shared" si="104"/>
        <v>15049.75</v>
      </c>
      <c r="V248" s="345">
        <f t="shared" si="105"/>
        <v>226494975.0625</v>
      </c>
      <c r="X248" s="371">
        <f t="shared" si="99"/>
        <v>16.582984687369418</v>
      </c>
      <c r="Y248" s="372">
        <f t="shared" si="100"/>
        <v>-33.931400785626899</v>
      </c>
      <c r="AA248" s="371">
        <f t="shared" si="101"/>
        <v>33.437840895132233</v>
      </c>
      <c r="AB248" s="372">
        <f t="shared" si="102"/>
        <v>-121.72507024033742</v>
      </c>
      <c r="AD248">
        <f t="shared" si="106"/>
        <v>0</v>
      </c>
      <c r="AE248">
        <f t="shared" si="109"/>
        <v>0</v>
      </c>
    </row>
    <row r="249" spans="1:31" x14ac:dyDescent="0.2">
      <c r="A249" s="373">
        <v>15136</v>
      </c>
      <c r="B249" s="390">
        <f t="shared" si="103"/>
        <v>15.135999999999999</v>
      </c>
      <c r="C249" s="363">
        <f t="shared" si="84"/>
        <v>21.383770516048763</v>
      </c>
      <c r="D249" s="364">
        <f t="shared" si="85"/>
        <v>1.5240148275337273</v>
      </c>
      <c r="E249" s="364">
        <f t="shared" si="86"/>
        <v>1.0064909350564495</v>
      </c>
      <c r="F249" s="365">
        <f t="shared" si="87"/>
        <v>0.11363114219752932</v>
      </c>
      <c r="G249" s="364">
        <f t="shared" si="88"/>
        <v>1.0967259961918485</v>
      </c>
      <c r="H249" s="365">
        <f t="shared" si="89"/>
        <v>-0.42313829145408016</v>
      </c>
      <c r="I249" s="363">
        <f t="shared" si="90"/>
        <v>62786.939735821448</v>
      </c>
      <c r="J249" s="366">
        <f t="shared" si="91"/>
        <v>1.5707803999157677</v>
      </c>
      <c r="K249" s="374">
        <f t="shared" si="107"/>
        <v>19.452266280776907</v>
      </c>
      <c r="L249" s="375">
        <f t="shared" si="108"/>
        <v>1.5193657648185854</v>
      </c>
      <c r="M249" s="363">
        <f t="shared" si="92"/>
        <v>1.1680243046805414</v>
      </c>
      <c r="N249" s="366">
        <f t="shared" si="93"/>
        <v>0.54303067007490025</v>
      </c>
      <c r="O249" s="367">
        <f t="shared" si="94"/>
        <v>1.0296276723874804</v>
      </c>
      <c r="P249" s="368">
        <f t="shared" si="95"/>
        <v>0.29437222221907822</v>
      </c>
      <c r="Q249" s="369">
        <f t="shared" si="96"/>
        <v>-7.5371033617403693</v>
      </c>
      <c r="R249" s="370">
        <f t="shared" si="97"/>
        <v>-155.97856416956509</v>
      </c>
      <c r="S249" s="372">
        <f t="shared" si="98"/>
        <v>24.02143583043491</v>
      </c>
      <c r="U249" s="345">
        <f t="shared" si="104"/>
        <v>15136</v>
      </c>
      <c r="V249" s="345">
        <f t="shared" si="105"/>
        <v>229098496</v>
      </c>
      <c r="X249" s="371">
        <f t="shared" si="99"/>
        <v>16.569654537848866</v>
      </c>
      <c r="Y249" s="372">
        <f t="shared" si="100"/>
        <v>-34.059207176644897</v>
      </c>
      <c r="AA249" s="371">
        <f t="shared" si="101"/>
        <v>33.394467368244761</v>
      </c>
      <c r="AB249" s="372">
        <f t="shared" si="102"/>
        <v>-121.91935699292014</v>
      </c>
      <c r="AD249">
        <f t="shared" si="106"/>
        <v>0</v>
      </c>
      <c r="AE249">
        <f t="shared" si="109"/>
        <v>0</v>
      </c>
    </row>
    <row r="250" spans="1:31" x14ac:dyDescent="0.2">
      <c r="A250" s="373">
        <v>15224</v>
      </c>
      <c r="B250" s="390">
        <f t="shared" si="103"/>
        <v>15.224</v>
      </c>
      <c r="C250" s="363">
        <f t="shared" si="84"/>
        <v>21.507823661060385</v>
      </c>
      <c r="D250" s="364">
        <f t="shared" si="85"/>
        <v>1.5242848498691728</v>
      </c>
      <c r="E250" s="364">
        <f t="shared" si="86"/>
        <v>1.0065663835419163</v>
      </c>
      <c r="F250" s="365">
        <f t="shared" si="87"/>
        <v>0.11428606713488623</v>
      </c>
      <c r="G250" s="364">
        <f t="shared" si="88"/>
        <v>1.0978037154096463</v>
      </c>
      <c r="H250" s="365">
        <f t="shared" si="89"/>
        <v>-0.42531295215771675</v>
      </c>
      <c r="I250" s="363">
        <f t="shared" si="90"/>
        <v>63151.980083030401</v>
      </c>
      <c r="J250" s="366">
        <f t="shared" si="91"/>
        <v>1.570780491978653</v>
      </c>
      <c r="K250" s="374">
        <f t="shared" si="107"/>
        <v>19.565062830639196</v>
      </c>
      <c r="L250" s="375">
        <f t="shared" si="108"/>
        <v>1.5196625318704762</v>
      </c>
      <c r="M250" s="363">
        <f t="shared" si="92"/>
        <v>1.169841404953627</v>
      </c>
      <c r="N250" s="366">
        <f t="shared" si="93"/>
        <v>0.54559876627822923</v>
      </c>
      <c r="O250" s="367">
        <f t="shared" si="94"/>
        <v>1.0299693856029353</v>
      </c>
      <c r="P250" s="368">
        <f t="shared" si="95"/>
        <v>0.29603414851020687</v>
      </c>
      <c r="Q250" s="369">
        <f t="shared" si="96"/>
        <v>-7.5946814262817277</v>
      </c>
      <c r="R250" s="370">
        <f t="shared" si="97"/>
        <v>-156.30647396693868</v>
      </c>
      <c r="S250" s="372">
        <f t="shared" si="98"/>
        <v>23.693526033061318</v>
      </c>
      <c r="U250" s="345">
        <f t="shared" si="104"/>
        <v>15224</v>
      </c>
      <c r="V250" s="345">
        <f t="shared" si="105"/>
        <v>231770176</v>
      </c>
      <c r="X250" s="371">
        <f t="shared" si="99"/>
        <v>16.556020057818095</v>
      </c>
      <c r="Y250" s="372">
        <f t="shared" si="100"/>
        <v>-34.189350025870823</v>
      </c>
      <c r="AA250" s="371">
        <f t="shared" si="101"/>
        <v>33.350523783734175</v>
      </c>
      <c r="AB250" s="372">
        <f t="shared" si="102"/>
        <v>-122.11712394106785</v>
      </c>
      <c r="AD250">
        <f t="shared" si="106"/>
        <v>0</v>
      </c>
      <c r="AE250">
        <f t="shared" si="109"/>
        <v>0</v>
      </c>
    </row>
    <row r="251" spans="1:31" x14ac:dyDescent="0.2">
      <c r="A251" s="373">
        <v>15312</v>
      </c>
      <c r="B251" s="390">
        <f t="shared" si="103"/>
        <v>15.311999999999999</v>
      </c>
      <c r="C251" s="363">
        <f t="shared" si="84"/>
        <v>21.631878356265506</v>
      </c>
      <c r="D251" s="364">
        <f t="shared" si="85"/>
        <v>1.5245517751707429</v>
      </c>
      <c r="E251" s="364">
        <f t="shared" si="86"/>
        <v>1.0066422637057266</v>
      </c>
      <c r="F251" s="365">
        <f t="shared" si="87"/>
        <v>0.11494089361728661</v>
      </c>
      <c r="G251" s="364">
        <f t="shared" si="88"/>
        <v>1.0988866161073294</v>
      </c>
      <c r="H251" s="365">
        <f t="shared" si="89"/>
        <v>-0.42748333705842534</v>
      </c>
      <c r="I251" s="363">
        <f t="shared" si="90"/>
        <v>63517.020430239885</v>
      </c>
      <c r="J251" s="366">
        <f t="shared" si="91"/>
        <v>1.5707805829833439</v>
      </c>
      <c r="K251" s="374">
        <f t="shared" si="107"/>
        <v>19.6778610838556</v>
      </c>
      <c r="L251" s="375">
        <f t="shared" si="108"/>
        <v>1.5199558966670974</v>
      </c>
      <c r="M251" s="363">
        <f t="shared" si="92"/>
        <v>1.1716661965086659</v>
      </c>
      <c r="N251" s="366">
        <f t="shared" si="93"/>
        <v>0.54815888004674052</v>
      </c>
      <c r="O251" s="367">
        <f t="shared" si="94"/>
        <v>1.0303129940684741</v>
      </c>
      <c r="P251" s="368">
        <f t="shared" si="95"/>
        <v>0.29769525001946406</v>
      </c>
      <c r="Q251" s="369">
        <f t="shared" si="96"/>
        <v>-7.6519837003630577</v>
      </c>
      <c r="R251" s="370">
        <f t="shared" si="97"/>
        <v>-156.63365723082518</v>
      </c>
      <c r="S251" s="372">
        <f t="shared" si="98"/>
        <v>23.366342769174821</v>
      </c>
      <c r="U251" s="345">
        <f t="shared" si="104"/>
        <v>15312</v>
      </c>
      <c r="V251" s="345">
        <f t="shared" si="105"/>
        <v>234457344</v>
      </c>
      <c r="X251" s="371">
        <f t="shared" si="99"/>
        <v>16.542351787105609</v>
      </c>
      <c r="Y251" s="372">
        <f t="shared" si="100"/>
        <v>-34.319230389508867</v>
      </c>
      <c r="AA251" s="371">
        <f t="shared" si="101"/>
        <v>33.306889780365331</v>
      </c>
      <c r="AB251" s="372">
        <f t="shared" si="102"/>
        <v>-122.31442684131636</v>
      </c>
      <c r="AD251">
        <f t="shared" si="106"/>
        <v>0</v>
      </c>
      <c r="AE251">
        <f t="shared" si="109"/>
        <v>0</v>
      </c>
    </row>
    <row r="252" spans="1:31" x14ac:dyDescent="0.2">
      <c r="A252" s="373">
        <v>15400</v>
      </c>
      <c r="B252" s="390">
        <f t="shared" si="103"/>
        <v>15.4</v>
      </c>
      <c r="C252" s="363">
        <f t="shared" si="84"/>
        <v>21.755934575146014</v>
      </c>
      <c r="D252" s="364">
        <f t="shared" si="85"/>
        <v>1.5248156563795905</v>
      </c>
      <c r="E252" s="364">
        <f t="shared" si="86"/>
        <v>1.0067185754502694</v>
      </c>
      <c r="F252" s="365">
        <f t="shared" si="87"/>
        <v>0.1155956211054808</v>
      </c>
      <c r="G252" s="364">
        <f t="shared" si="88"/>
        <v>1.0999746829817416</v>
      </c>
      <c r="H252" s="365">
        <f t="shared" si="89"/>
        <v>-0.42964943836725866</v>
      </c>
      <c r="I252" s="363">
        <f t="shared" si="90"/>
        <v>63882.060777449893</v>
      </c>
      <c r="J252" s="366">
        <f t="shared" si="91"/>
        <v>1.5707806729479814</v>
      </c>
      <c r="K252" s="374">
        <f t="shared" si="107"/>
        <v>19.790661011300955</v>
      </c>
      <c r="L252" s="375">
        <f t="shared" si="108"/>
        <v>1.5202459173325542</v>
      </c>
      <c r="M252" s="363">
        <f t="shared" si="92"/>
        <v>1.1734986434658052</v>
      </c>
      <c r="N252" s="366">
        <f t="shared" si="93"/>
        <v>0.5507110151379162</v>
      </c>
      <c r="O252" s="367">
        <f t="shared" si="94"/>
        <v>1.0306584963847403</v>
      </c>
      <c r="P252" s="368">
        <f t="shared" si="95"/>
        <v>0.29935552299258555</v>
      </c>
      <c r="Q252" s="369">
        <f t="shared" si="96"/>
        <v>-7.709013252527174</v>
      </c>
      <c r="R252" s="370">
        <f t="shared" si="97"/>
        <v>-156.96011325011011</v>
      </c>
      <c r="S252" s="372">
        <f t="shared" si="98"/>
        <v>23.039886749889888</v>
      </c>
      <c r="U252" s="345">
        <f t="shared" si="104"/>
        <v>15400</v>
      </c>
      <c r="V252" s="345">
        <f t="shared" si="105"/>
        <v>237160000</v>
      </c>
      <c r="X252" s="371">
        <f t="shared" si="99"/>
        <v>16.52865014068167</v>
      </c>
      <c r="Y252" s="372">
        <f t="shared" si="100"/>
        <v>-34.448845153620333</v>
      </c>
      <c r="AA252" s="371">
        <f t="shared" si="101"/>
        <v>33.263561874625161</v>
      </c>
      <c r="AB252" s="372">
        <f t="shared" si="102"/>
        <v>-122.51126809648973</v>
      </c>
      <c r="AD252">
        <f t="shared" si="106"/>
        <v>0</v>
      </c>
      <c r="AE252">
        <f t="shared" si="109"/>
        <v>0</v>
      </c>
    </row>
    <row r="253" spans="1:31" x14ac:dyDescent="0.2">
      <c r="A253" s="373">
        <v>15488</v>
      </c>
      <c r="B253" s="390">
        <f t="shared" si="103"/>
        <v>15.488</v>
      </c>
      <c r="C253" s="363">
        <f t="shared" si="84"/>
        <v>21.879992291784884</v>
      </c>
      <c r="D253" s="364">
        <f t="shared" si="85"/>
        <v>1.5250765452378987</v>
      </c>
      <c r="E253" s="364">
        <f t="shared" si="86"/>
        <v>1.0067953186774068</v>
      </c>
      <c r="F253" s="365">
        <f t="shared" si="87"/>
        <v>0.11625024906072164</v>
      </c>
      <c r="G253" s="364">
        <f t="shared" si="88"/>
        <v>1.1010679007173538</v>
      </c>
      <c r="H253" s="365">
        <f t="shared" si="89"/>
        <v>-0.43181124848677166</v>
      </c>
      <c r="I253" s="363">
        <f t="shared" si="90"/>
        <v>64247.10112466041</v>
      </c>
      <c r="J253" s="366">
        <f t="shared" si="91"/>
        <v>1.5707807618902934</v>
      </c>
      <c r="K253" s="374">
        <f t="shared" si="107"/>
        <v>19.903462584509931</v>
      </c>
      <c r="L253" s="375">
        <f t="shared" si="108"/>
        <v>1.5205326506755728</v>
      </c>
      <c r="M253" s="363">
        <f t="shared" si="92"/>
        <v>1.1753387100188948</v>
      </c>
      <c r="N253" s="366">
        <f t="shared" si="93"/>
        <v>0.5532551757015991</v>
      </c>
      <c r="O253" s="367">
        <f t="shared" si="94"/>
        <v>1.0310058911466691</v>
      </c>
      <c r="P253" s="368">
        <f t="shared" si="95"/>
        <v>0.30101496369091385</v>
      </c>
      <c r="Q253" s="369">
        <f t="shared" si="96"/>
        <v>-7.7657730963239482</v>
      </c>
      <c r="R253" s="370">
        <f t="shared" si="97"/>
        <v>-157.28584135464308</v>
      </c>
      <c r="S253" s="372">
        <f t="shared" si="98"/>
        <v>22.714158645356918</v>
      </c>
      <c r="U253" s="345">
        <f t="shared" si="104"/>
        <v>15488</v>
      </c>
      <c r="V253" s="345">
        <f t="shared" si="105"/>
        <v>239878144</v>
      </c>
      <c r="X253" s="371">
        <f t="shared" si="99"/>
        <v>16.51491553253339</v>
      </c>
      <c r="Y253" s="372">
        <f t="shared" si="100"/>
        <v>-34.578191302089245</v>
      </c>
      <c r="AA253" s="371">
        <f t="shared" si="101"/>
        <v>33.220536638976668</v>
      </c>
      <c r="AB253" s="372">
        <f t="shared" si="102"/>
        <v>-122.70765005255383</v>
      </c>
      <c r="AD253">
        <f t="shared" si="106"/>
        <v>0</v>
      </c>
      <c r="AE253">
        <f t="shared" si="109"/>
        <v>0</v>
      </c>
    </row>
    <row r="254" spans="1:31" x14ac:dyDescent="0.2">
      <c r="A254" s="373">
        <v>15578.25</v>
      </c>
      <c r="B254" s="390">
        <f t="shared" si="103"/>
        <v>15.578250000000001</v>
      </c>
      <c r="C254" s="363">
        <f t="shared" si="84"/>
        <v>22.007223467835953</v>
      </c>
      <c r="D254" s="364">
        <f t="shared" si="85"/>
        <v>1.5253410494312043</v>
      </c>
      <c r="E254" s="364">
        <f t="shared" si="86"/>
        <v>1.0068744721579441</v>
      </c>
      <c r="F254" s="365">
        <f t="shared" si="87"/>
        <v>0.11692151071592091</v>
      </c>
      <c r="G254" s="364">
        <f t="shared" si="88"/>
        <v>1.1021944040791538</v>
      </c>
      <c r="H254" s="365">
        <f t="shared" si="89"/>
        <v>-0.43402386723391878</v>
      </c>
      <c r="I254" s="363">
        <f t="shared" si="90"/>
        <v>64621.474889839905</v>
      </c>
      <c r="J254" s="366">
        <f t="shared" si="91"/>
        <v>1.5707808520629791</v>
      </c>
      <c r="K254" s="374">
        <f t="shared" si="107"/>
        <v>20.019149969130027</v>
      </c>
      <c r="L254" s="375">
        <f t="shared" si="108"/>
        <v>1.5208233589569913</v>
      </c>
      <c r="M254" s="363">
        <f t="shared" si="92"/>
        <v>1.1772337006150126</v>
      </c>
      <c r="N254" s="366">
        <f t="shared" si="93"/>
        <v>0.55585610760489401</v>
      </c>
      <c r="O254" s="367">
        <f t="shared" si="94"/>
        <v>1.0313641323270371</v>
      </c>
      <c r="P254" s="368">
        <f t="shared" si="95"/>
        <v>0.30271596490440061</v>
      </c>
      <c r="Q254" s="369">
        <f t="shared" si="96"/>
        <v>-7.8237071458668623</v>
      </c>
      <c r="R254" s="370">
        <f t="shared" si="97"/>
        <v>-157.61914100531368</v>
      </c>
      <c r="S254" s="372">
        <f t="shared" si="98"/>
        <v>22.380858994686321</v>
      </c>
      <c r="U254" s="345">
        <f t="shared" si="104"/>
        <v>15578.25</v>
      </c>
      <c r="V254" s="345">
        <f t="shared" si="105"/>
        <v>242681873.0625</v>
      </c>
      <c r="X254" s="371">
        <f t="shared" si="99"/>
        <v>16.500795951326904</v>
      </c>
      <c r="Y254" s="372">
        <f t="shared" si="100"/>
        <v>-34.710562532019779</v>
      </c>
      <c r="AA254" s="371">
        <f t="shared" si="101"/>
        <v>33.17672217064024</v>
      </c>
      <c r="AB254" s="372">
        <f t="shared" si="102"/>
        <v>-122.90857847329394</v>
      </c>
      <c r="AD254">
        <f t="shared" si="106"/>
        <v>0</v>
      </c>
      <c r="AE254">
        <f t="shared" si="109"/>
        <v>0</v>
      </c>
    </row>
    <row r="255" spans="1:31" x14ac:dyDescent="0.2">
      <c r="A255" s="373">
        <v>15668.5</v>
      </c>
      <c r="B255" s="390">
        <f t="shared" si="103"/>
        <v>15.6685</v>
      </c>
      <c r="C255" s="363">
        <f t="shared" si="84"/>
        <v>22.134456165866155</v>
      </c>
      <c r="D255" s="364">
        <f t="shared" si="85"/>
        <v>1.5256025128105506</v>
      </c>
      <c r="E255" s="364">
        <f t="shared" si="86"/>
        <v>1.006954079256829</v>
      </c>
      <c r="F255" s="365">
        <f t="shared" si="87"/>
        <v>0.11759266653719236</v>
      </c>
      <c r="G255" s="364">
        <f t="shared" si="88"/>
        <v>1.1033262923998697</v>
      </c>
      <c r="H255" s="365">
        <f t="shared" si="89"/>
        <v>-0.43623195697823236</v>
      </c>
      <c r="I255" s="363">
        <f t="shared" si="90"/>
        <v>64995.848655019909</v>
      </c>
      <c r="J255" s="366">
        <f t="shared" si="91"/>
        <v>1.5707809411968818</v>
      </c>
      <c r="K255" s="374">
        <f t="shared" si="107"/>
        <v>20.134839026153092</v>
      </c>
      <c r="L255" s="375">
        <f t="shared" si="108"/>
        <v>1.5211107266082966</v>
      </c>
      <c r="M255" s="363">
        <f t="shared" si="92"/>
        <v>1.1791366293880887</v>
      </c>
      <c r="N255" s="366">
        <f t="shared" si="93"/>
        <v>0.5584486620635617</v>
      </c>
      <c r="O255" s="367">
        <f t="shared" si="94"/>
        <v>1.0317243609512943</v>
      </c>
      <c r="P255" s="368">
        <f t="shared" si="95"/>
        <v>0.30441608282493499</v>
      </c>
      <c r="Q255" s="369">
        <f t="shared" si="96"/>
        <v>-7.881363767231047</v>
      </c>
      <c r="R255" s="370">
        <f t="shared" si="97"/>
        <v>-157.95167374457696</v>
      </c>
      <c r="S255" s="372">
        <f t="shared" si="98"/>
        <v>22.048326255423035</v>
      </c>
      <c r="U255" s="345">
        <f t="shared" si="104"/>
        <v>15668.5</v>
      </c>
      <c r="V255" s="345">
        <f t="shared" si="105"/>
        <v>245501892.25</v>
      </c>
      <c r="X255" s="371">
        <f t="shared" si="99"/>
        <v>16.48664257982643</v>
      </c>
      <c r="Y255" s="372">
        <f t="shared" si="100"/>
        <v>-34.842645114218236</v>
      </c>
      <c r="AA255" s="371">
        <f t="shared" si="101"/>
        <v>33.133218920776528</v>
      </c>
      <c r="AB255" s="372">
        <f t="shared" si="102"/>
        <v>-123.10902863035872</v>
      </c>
      <c r="AD255">
        <f t="shared" si="106"/>
        <v>0</v>
      </c>
      <c r="AE255">
        <f t="shared" si="109"/>
        <v>0</v>
      </c>
    </row>
    <row r="256" spans="1:31" x14ac:dyDescent="0.2">
      <c r="A256" s="373">
        <v>15758.75</v>
      </c>
      <c r="B256" s="390">
        <f t="shared" si="103"/>
        <v>15.758749999999999</v>
      </c>
      <c r="C256" s="363">
        <f t="shared" si="84"/>
        <v>22.261690359779688</v>
      </c>
      <c r="D256" s="364">
        <f t="shared" si="85"/>
        <v>1.5258609874781726</v>
      </c>
      <c r="E256" s="364">
        <f t="shared" si="86"/>
        <v>1.007034139866485</v>
      </c>
      <c r="F256" s="365">
        <f t="shared" si="87"/>
        <v>0.11826371594506242</v>
      </c>
      <c r="G256" s="364">
        <f t="shared" si="88"/>
        <v>1.1044635491234858</v>
      </c>
      <c r="H256" s="365">
        <f t="shared" si="89"/>
        <v>-0.43843551014546939</v>
      </c>
      <c r="I256" s="363">
        <f t="shared" si="90"/>
        <v>65370.222420200429</v>
      </c>
      <c r="J256" s="366">
        <f t="shared" si="91"/>
        <v>1.570781029309849</v>
      </c>
      <c r="K256" s="374">
        <f t="shared" si="107"/>
        <v>20.250529726916362</v>
      </c>
      <c r="L256" s="375">
        <f t="shared" si="108"/>
        <v>1.5213948108363904</v>
      </c>
      <c r="M256" s="363">
        <f t="shared" si="92"/>
        <v>1.1810474579676449</v>
      </c>
      <c r="N256" s="366">
        <f t="shared" si="93"/>
        <v>0.56103284480472793</v>
      </c>
      <c r="O256" s="367">
        <f t="shared" si="94"/>
        <v>1.0320865754853532</v>
      </c>
      <c r="P256" s="368">
        <f t="shared" si="95"/>
        <v>0.30611531347109944</v>
      </c>
      <c r="Q256" s="369">
        <f t="shared" si="96"/>
        <v>-7.9387460393149931</v>
      </c>
      <c r="R256" s="370">
        <f t="shared" si="97"/>
        <v>-158.28343898023053</v>
      </c>
      <c r="S256" s="372">
        <f t="shared" si="98"/>
        <v>21.716561019769472</v>
      </c>
      <c r="U256" s="345">
        <f t="shared" si="104"/>
        <v>15758.75</v>
      </c>
      <c r="V256" s="345">
        <f t="shared" si="105"/>
        <v>248338201.5625</v>
      </c>
      <c r="X256" s="371">
        <f t="shared" si="99"/>
        <v>16.472455860929077</v>
      </c>
      <c r="Y256" s="372">
        <f t="shared" si="100"/>
        <v>-34.974436100133339</v>
      </c>
      <c r="AA256" s="371">
        <f t="shared" si="101"/>
        <v>33.090023367589929</v>
      </c>
      <c r="AB256" s="372">
        <f t="shared" si="102"/>
        <v>-123.30900288009718</v>
      </c>
      <c r="AD256">
        <f t="shared" si="106"/>
        <v>0</v>
      </c>
      <c r="AE256">
        <f t="shared" si="109"/>
        <v>0</v>
      </c>
    </row>
    <row r="257" spans="1:31" x14ac:dyDescent="0.2">
      <c r="A257" s="373">
        <v>15849</v>
      </c>
      <c r="B257" s="390">
        <f t="shared" si="103"/>
        <v>15.849</v>
      </c>
      <c r="C257" s="363">
        <f t="shared" si="84"/>
        <v>22.388926024073658</v>
      </c>
      <c r="D257" s="364">
        <f t="shared" si="85"/>
        <v>1.5261165243535397</v>
      </c>
      <c r="E257" s="364">
        <f t="shared" si="86"/>
        <v>1.0071146538787563</v>
      </c>
      <c r="F257" s="365">
        <f t="shared" si="87"/>
        <v>0.11893465836062458</v>
      </c>
      <c r="G257" s="364">
        <f t="shared" si="88"/>
        <v>1.1056061576837439</v>
      </c>
      <c r="H257" s="365">
        <f t="shared" si="89"/>
        <v>-0.44063451936870035</v>
      </c>
      <c r="I257" s="363">
        <f t="shared" si="90"/>
        <v>65744.596185381466</v>
      </c>
      <c r="J257" s="366">
        <f t="shared" si="91"/>
        <v>1.5707811164193211</v>
      </c>
      <c r="K257" s="374">
        <f t="shared" si="107"/>
        <v>20.366222043407952</v>
      </c>
      <c r="L257" s="375">
        <f t="shared" si="108"/>
        <v>1.5216756675504439</v>
      </c>
      <c r="M257" s="363">
        <f t="shared" si="92"/>
        <v>1.1829661480723432</v>
      </c>
      <c r="N257" s="366">
        <f t="shared" si="93"/>
        <v>0.56360866196584014</v>
      </c>
      <c r="O257" s="367">
        <f t="shared" si="94"/>
        <v>1.032450774388973</v>
      </c>
      <c r="P257" s="368">
        <f t="shared" si="95"/>
        <v>0.30781365287891371</v>
      </c>
      <c r="Q257" s="369">
        <f t="shared" si="96"/>
        <v>-7.9958569857743349</v>
      </c>
      <c r="R257" s="370">
        <f t="shared" si="97"/>
        <v>-158.61443616299024</v>
      </c>
      <c r="S257" s="372">
        <f t="shared" si="98"/>
        <v>21.385563837009755</v>
      </c>
      <c r="U257" s="345">
        <f t="shared" si="104"/>
        <v>15849</v>
      </c>
      <c r="V257" s="345">
        <f t="shared" si="105"/>
        <v>251190801</v>
      </c>
      <c r="X257" s="371">
        <f t="shared" si="99"/>
        <v>16.4582362361555</v>
      </c>
      <c r="Y257" s="372">
        <f t="shared" si="100"/>
        <v>-35.105932639054629</v>
      </c>
      <c r="AA257" s="371">
        <f t="shared" si="101"/>
        <v>33.047132045904164</v>
      </c>
      <c r="AB257" s="372">
        <f t="shared" si="102"/>
        <v>-123.50850352393562</v>
      </c>
      <c r="AD257">
        <f t="shared" si="106"/>
        <v>0</v>
      </c>
      <c r="AE257">
        <f t="shared" si="109"/>
        <v>0</v>
      </c>
    </row>
    <row r="258" spans="1:31" x14ac:dyDescent="0.2">
      <c r="A258" s="373">
        <v>15941.25</v>
      </c>
      <c r="B258" s="390">
        <f t="shared" si="103"/>
        <v>15.94125</v>
      </c>
      <c r="C258" s="363">
        <f t="shared" si="84"/>
        <v>22.51898280894709</v>
      </c>
      <c r="D258" s="364">
        <f t="shared" si="85"/>
        <v>1.5263747397373466</v>
      </c>
      <c r="E258" s="364">
        <f t="shared" si="86"/>
        <v>1.0071974206073611</v>
      </c>
      <c r="F258" s="365">
        <f t="shared" si="87"/>
        <v>0.11962035812894593</v>
      </c>
      <c r="G258" s="364">
        <f t="shared" si="88"/>
        <v>1.1067796010031872</v>
      </c>
      <c r="H258" s="365">
        <f t="shared" si="89"/>
        <v>-0.44287755653920174</v>
      </c>
      <c r="I258" s="363">
        <f t="shared" si="90"/>
        <v>66127.266322090538</v>
      </c>
      <c r="J258" s="366">
        <f t="shared" si="91"/>
        <v>1.570781204439843</v>
      </c>
      <c r="K258" s="374">
        <f t="shared" si="107"/>
        <v>20.484479819879354</v>
      </c>
      <c r="L258" s="375">
        <f t="shared" si="108"/>
        <v>1.5219594695317298</v>
      </c>
      <c r="M258" s="363">
        <f t="shared" si="92"/>
        <v>1.1849354426455441</v>
      </c>
      <c r="N258" s="366">
        <f t="shared" si="93"/>
        <v>0.56623292204638875</v>
      </c>
      <c r="O258" s="367">
        <f t="shared" si="94"/>
        <v>1.0328250933916863</v>
      </c>
      <c r="P258" s="368">
        <f t="shared" si="95"/>
        <v>0.30954870342556817</v>
      </c>
      <c r="Q258" s="369">
        <f t="shared" si="96"/>
        <v>-8.0539562289347906</v>
      </c>
      <c r="R258" s="370">
        <f t="shared" si="97"/>
        <v>-158.95197416348077</v>
      </c>
      <c r="S258" s="372">
        <f t="shared" si="98"/>
        <v>21.04802583651923</v>
      </c>
      <c r="U258" s="345">
        <f t="shared" si="104"/>
        <v>15941.25</v>
      </c>
      <c r="V258" s="345">
        <f t="shared" si="105"/>
        <v>254123451.5625</v>
      </c>
      <c r="X258" s="371">
        <f t="shared" si="99"/>
        <v>16.44366794542908</v>
      </c>
      <c r="Y258" s="372">
        <f t="shared" si="100"/>
        <v>-35.24003605362725</v>
      </c>
      <c r="AA258" s="371">
        <f t="shared" si="101"/>
        <v>33.003601093470131</v>
      </c>
      <c r="AB258" s="372">
        <f t="shared" si="102"/>
        <v>-123.71193810985351</v>
      </c>
      <c r="AD258">
        <f t="shared" si="106"/>
        <v>0</v>
      </c>
      <c r="AE258">
        <f t="shared" si="109"/>
        <v>0</v>
      </c>
    </row>
    <row r="259" spans="1:31" x14ac:dyDescent="0.2">
      <c r="A259" s="373">
        <v>16033.5</v>
      </c>
      <c r="B259" s="390">
        <f t="shared" si="103"/>
        <v>16.0335</v>
      </c>
      <c r="C259" s="363">
        <f t="shared" si="84"/>
        <v>22.649041078034266</v>
      </c>
      <c r="D259" s="364">
        <f t="shared" si="85"/>
        <v>1.5266299896220965</v>
      </c>
      <c r="E259" s="364">
        <f t="shared" si="86"/>
        <v>1.0072806608262967</v>
      </c>
      <c r="F259" s="365">
        <f t="shared" si="87"/>
        <v>0.12030594488909814</v>
      </c>
      <c r="G259" s="364">
        <f t="shared" si="88"/>
        <v>1.1079586009581377</v>
      </c>
      <c r="H259" s="365">
        <f t="shared" si="89"/>
        <v>-0.44511583123344955</v>
      </c>
      <c r="I259" s="363">
        <f t="shared" si="90"/>
        <v>66509.936458800148</v>
      </c>
      <c r="J259" s="366">
        <f t="shared" si="91"/>
        <v>1.5707812914474992</v>
      </c>
      <c r="K259" s="374">
        <f t="shared" si="107"/>
        <v>20.602739227303246</v>
      </c>
      <c r="L259" s="375">
        <f t="shared" si="108"/>
        <v>1.5222400134973493</v>
      </c>
      <c r="M259" s="363">
        <f t="shared" si="92"/>
        <v>1.1869128704506318</v>
      </c>
      <c r="N259" s="366">
        <f t="shared" si="93"/>
        <v>0.56884845591804578</v>
      </c>
      <c r="O259" s="367">
        <f t="shared" si="94"/>
        <v>1.0332014824146838</v>
      </c>
      <c r="P259" s="368">
        <f t="shared" si="95"/>
        <v>0.31128281447622402</v>
      </c>
      <c r="Q259" s="369">
        <f t="shared" si="96"/>
        <v>-8.1117782050509</v>
      </c>
      <c r="R259" s="370">
        <f t="shared" si="97"/>
        <v>-159.28870866691008</v>
      </c>
      <c r="S259" s="372">
        <f t="shared" si="98"/>
        <v>20.711291333089918</v>
      </c>
      <c r="U259" s="345">
        <f t="shared" si="104"/>
        <v>16033.5</v>
      </c>
      <c r="V259" s="345">
        <f t="shared" si="105"/>
        <v>257073122.25</v>
      </c>
      <c r="X259" s="371">
        <f t="shared" si="99"/>
        <v>16.429066202389574</v>
      </c>
      <c r="Y259" s="372">
        <f t="shared" si="100"/>
        <v>-35.37382610577319</v>
      </c>
      <c r="AA259" s="371">
        <f t="shared" si="101"/>
        <v>32.960380860393521</v>
      </c>
      <c r="AB259" s="372">
        <f t="shared" si="102"/>
        <v>-123.91488256113692</v>
      </c>
      <c r="AD259">
        <f t="shared" si="106"/>
        <v>0</v>
      </c>
      <c r="AE259">
        <f t="shared" si="109"/>
        <v>0</v>
      </c>
    </row>
    <row r="260" spans="1:31" x14ac:dyDescent="0.2">
      <c r="A260" s="373">
        <v>16125.75</v>
      </c>
      <c r="B260" s="390">
        <f t="shared" si="103"/>
        <v>16.12575</v>
      </c>
      <c r="C260" s="363">
        <f t="shared" si="84"/>
        <v>22.779100805912631</v>
      </c>
      <c r="D260" s="364">
        <f t="shared" si="85"/>
        <v>1.5268823247697489</v>
      </c>
      <c r="E260" s="364">
        <f t="shared" si="86"/>
        <v>1.0073643744181875</v>
      </c>
      <c r="F260" s="365">
        <f t="shared" si="87"/>
        <v>0.12099141802468401</v>
      </c>
      <c r="G260" s="364">
        <f t="shared" si="88"/>
        <v>1.1091431398287737</v>
      </c>
      <c r="H260" s="365">
        <f t="shared" si="89"/>
        <v>-0.44734933624760959</v>
      </c>
      <c r="I260" s="363">
        <f t="shared" si="90"/>
        <v>66892.606595510224</v>
      </c>
      <c r="J260" s="366">
        <f t="shared" si="91"/>
        <v>1.5707813774596722</v>
      </c>
      <c r="K260" s="374">
        <f t="shared" si="107"/>
        <v>20.721000237754986</v>
      </c>
      <c r="L260" s="375">
        <f t="shared" si="108"/>
        <v>1.5225173551861999</v>
      </c>
      <c r="M260" s="363">
        <f t="shared" si="92"/>
        <v>1.1888983909049653</v>
      </c>
      <c r="N260" s="366">
        <f t="shared" si="93"/>
        <v>0.57145527142570995</v>
      </c>
      <c r="O260" s="367">
        <f t="shared" si="94"/>
        <v>1.0335799397933674</v>
      </c>
      <c r="P260" s="368">
        <f t="shared" si="95"/>
        <v>0.31301598185423968</v>
      </c>
      <c r="Q260" s="369">
        <f t="shared" si="96"/>
        <v>-8.1693259727702099</v>
      </c>
      <c r="R260" s="370">
        <f t="shared" si="97"/>
        <v>-159.62463922186006</v>
      </c>
      <c r="S260" s="372">
        <f t="shared" si="98"/>
        <v>20.375360778139935</v>
      </c>
      <c r="U260" s="345">
        <f t="shared" si="104"/>
        <v>16125.75</v>
      </c>
      <c r="V260" s="345">
        <f t="shared" si="105"/>
        <v>260039813.0625</v>
      </c>
      <c r="X260" s="371">
        <f t="shared" si="99"/>
        <v>16.414431473687451</v>
      </c>
      <c r="Y260" s="372">
        <f t="shared" si="100"/>
        <v>-35.507300052364464</v>
      </c>
      <c r="AA260" s="371">
        <f t="shared" si="101"/>
        <v>32.917467821376341</v>
      </c>
      <c r="AB260" s="372">
        <f t="shared" si="102"/>
        <v>-124.11733916949561</v>
      </c>
      <c r="AD260">
        <f t="shared" si="106"/>
        <v>0</v>
      </c>
      <c r="AE260">
        <f t="shared" si="109"/>
        <v>0</v>
      </c>
    </row>
    <row r="261" spans="1:31" x14ac:dyDescent="0.2">
      <c r="A261" s="373">
        <v>16218</v>
      </c>
      <c r="B261" s="390">
        <f t="shared" si="103"/>
        <v>16.218</v>
      </c>
      <c r="C261" s="363">
        <f t="shared" si="84"/>
        <v>22.909161967736679</v>
      </c>
      <c r="D261" s="364">
        <f t="shared" si="85"/>
        <v>1.5271317947910135</v>
      </c>
      <c r="E261" s="364">
        <f t="shared" si="86"/>
        <v>1.0074485612650288</v>
      </c>
      <c r="F261" s="365">
        <f t="shared" si="87"/>
        <v>0.12167677691993777</v>
      </c>
      <c r="G261" s="364">
        <f t="shared" si="88"/>
        <v>1.1103331998878199</v>
      </c>
      <c r="H261" s="365">
        <f t="shared" si="89"/>
        <v>-0.44957806459886562</v>
      </c>
      <c r="I261" s="363">
        <f t="shared" si="90"/>
        <v>67275.276732220824</v>
      </c>
      <c r="J261" s="366">
        <f t="shared" si="91"/>
        <v>1.5707814624933492</v>
      </c>
      <c r="K261" s="374">
        <f t="shared" si="107"/>
        <v>20.839262823943436</v>
      </c>
      <c r="L261" s="375">
        <f t="shared" si="108"/>
        <v>1.5227915490739046</v>
      </c>
      <c r="M261" s="363">
        <f t="shared" si="92"/>
        <v>1.1908919635310191</v>
      </c>
      <c r="N261" s="366">
        <f t="shared" si="93"/>
        <v>0.57405337683603164</v>
      </c>
      <c r="O261" s="367">
        <f t="shared" si="94"/>
        <v>1.0339604638566</v>
      </c>
      <c r="P261" s="368">
        <f t="shared" si="95"/>
        <v>0.3147482014021874</v>
      </c>
      <c r="Q261" s="369">
        <f t="shared" si="96"/>
        <v>-8.2266025359978627</v>
      </c>
      <c r="R261" s="370">
        <f t="shared" si="97"/>
        <v>-159.9597654212009</v>
      </c>
      <c r="S261" s="372">
        <f t="shared" si="98"/>
        <v>20.040234578799101</v>
      </c>
      <c r="U261" s="345">
        <f t="shared" si="104"/>
        <v>16218</v>
      </c>
      <c r="V261" s="345">
        <f t="shared" si="105"/>
        <v>263023524</v>
      </c>
      <c r="X261" s="371">
        <f t="shared" si="99"/>
        <v>16.399764224196723</v>
      </c>
      <c r="Y261" s="372">
        <f t="shared" si="100"/>
        <v>-35.640455246795177</v>
      </c>
      <c r="AA261" s="371">
        <f t="shared" si="101"/>
        <v>32.874858507639409</v>
      </c>
      <c r="AB261" s="372">
        <f t="shared" si="102"/>
        <v>-124.3193101744057</v>
      </c>
      <c r="AD261">
        <f t="shared" si="106"/>
        <v>0</v>
      </c>
      <c r="AE261">
        <f t="shared" si="109"/>
        <v>0</v>
      </c>
    </row>
    <row r="262" spans="1:31" x14ac:dyDescent="0.2">
      <c r="A262" s="373">
        <v>16312.5</v>
      </c>
      <c r="B262" s="390">
        <f t="shared" si="103"/>
        <v>16.3125</v>
      </c>
      <c r="C262" s="363">
        <f t="shared" si="84"/>
        <v>23.0423968144718</v>
      </c>
      <c r="D262" s="364">
        <f t="shared" si="85"/>
        <v>1.5273844293288721</v>
      </c>
      <c r="E262" s="364">
        <f t="shared" si="86"/>
        <v>1.0075352920355085</v>
      </c>
      <c r="F262" s="365">
        <f t="shared" si="87"/>
        <v>0.12237873278897064</v>
      </c>
      <c r="G262" s="364">
        <f t="shared" si="88"/>
        <v>1.1115579920898935</v>
      </c>
      <c r="H262" s="365">
        <f t="shared" si="89"/>
        <v>-0.45185619227032386</v>
      </c>
      <c r="I262" s="363">
        <f t="shared" si="90"/>
        <v>67667.280286900452</v>
      </c>
      <c r="J262" s="366">
        <f t="shared" si="91"/>
        <v>1.5707815486037857</v>
      </c>
      <c r="K262" s="374">
        <f t="shared" si="107"/>
        <v>20.960411469427488</v>
      </c>
      <c r="L262" s="375">
        <f t="shared" si="108"/>
        <v>1.5230692223695859</v>
      </c>
      <c r="M262" s="363">
        <f t="shared" si="92"/>
        <v>1.1929424668389239</v>
      </c>
      <c r="N262" s="366">
        <f t="shared" si="93"/>
        <v>0.57670582839867268</v>
      </c>
      <c r="O262" s="367">
        <f t="shared" si="94"/>
        <v>1.0343524101505328</v>
      </c>
      <c r="P262" s="368">
        <f t="shared" si="95"/>
        <v>0.31652168309314022</v>
      </c>
      <c r="Q262" s="369">
        <f t="shared" si="96"/>
        <v>-8.2849979651265624</v>
      </c>
      <c r="R262" s="370">
        <f t="shared" si="97"/>
        <v>-160.30223102811334</v>
      </c>
      <c r="S262" s="372">
        <f t="shared" si="98"/>
        <v>19.69776897188666</v>
      </c>
      <c r="U262" s="345">
        <f t="shared" si="104"/>
        <v>16312.5</v>
      </c>
      <c r="V262" s="345">
        <f t="shared" si="105"/>
        <v>266097656.25</v>
      </c>
      <c r="X262" s="371">
        <f t="shared" si="99"/>
        <v>16.384706000671812</v>
      </c>
      <c r="Y262" s="372">
        <f t="shared" si="100"/>
        <v>-35.776524952691453</v>
      </c>
      <c r="AA262" s="371">
        <f t="shared" si="101"/>
        <v>32.831521302035625</v>
      </c>
      <c r="AB262" s="372">
        <f t="shared" si="102"/>
        <v>-124.52570607542188</v>
      </c>
      <c r="AD262">
        <f t="shared" si="106"/>
        <v>0</v>
      </c>
      <c r="AE262">
        <f t="shared" si="109"/>
        <v>0</v>
      </c>
    </row>
    <row r="263" spans="1:31" x14ac:dyDescent="0.2">
      <c r="A263" s="373">
        <v>16407</v>
      </c>
      <c r="B263" s="390">
        <f t="shared" si="103"/>
        <v>16.407</v>
      </c>
      <c r="C263" s="363">
        <f t="shared" si="84"/>
        <v>23.175633114960188</v>
      </c>
      <c r="D263" s="364">
        <f t="shared" si="85"/>
        <v>1.527634159099633</v>
      </c>
      <c r="E263" s="364">
        <f t="shared" si="86"/>
        <v>1.0076225191753787</v>
      </c>
      <c r="F263" s="365">
        <f t="shared" si="87"/>
        <v>0.1230805674709579</v>
      </c>
      <c r="G263" s="364">
        <f t="shared" si="88"/>
        <v>1.1127885404122517</v>
      </c>
      <c r="H263" s="365">
        <f t="shared" si="89"/>
        <v>-0.4541292933004813</v>
      </c>
      <c r="I263" s="363">
        <f t="shared" si="90"/>
        <v>68059.28384158056</v>
      </c>
      <c r="J263" s="366">
        <f t="shared" si="91"/>
        <v>1.5707816337222753</v>
      </c>
      <c r="K263" s="374">
        <f t="shared" si="107"/>
        <v>21.081561712436375</v>
      </c>
      <c r="L263" s="375">
        <f t="shared" si="108"/>
        <v>1.5233437042540463</v>
      </c>
      <c r="M263" s="363">
        <f t="shared" si="92"/>
        <v>1.195001334255414</v>
      </c>
      <c r="N263" s="366">
        <f t="shared" si="93"/>
        <v>0.57934915868929726</v>
      </c>
      <c r="O263" s="367">
        <f t="shared" si="94"/>
        <v>1.0347465216014202</v>
      </c>
      <c r="P263" s="368">
        <f t="shared" si="95"/>
        <v>0.31829416138474231</v>
      </c>
      <c r="Q263" s="369">
        <f t="shared" si="96"/>
        <v>-8.3431150097850448</v>
      </c>
      <c r="R263" s="370">
        <f t="shared" si="97"/>
        <v>-160.64385183892523</v>
      </c>
      <c r="S263" s="372">
        <f t="shared" si="98"/>
        <v>19.356148161074771</v>
      </c>
      <c r="U263" s="345">
        <f t="shared" si="104"/>
        <v>16407</v>
      </c>
      <c r="V263" s="345">
        <f t="shared" si="105"/>
        <v>269189649</v>
      </c>
      <c r="X263" s="371">
        <f t="shared" si="99"/>
        <v>16.369614632205209</v>
      </c>
      <c r="Y263" s="372">
        <f t="shared" si="100"/>
        <v>-35.912254845756252</v>
      </c>
      <c r="AA263" s="371">
        <f t="shared" si="101"/>
        <v>32.788495625843751</v>
      </c>
      <c r="AB263" s="372">
        <f t="shared" si="102"/>
        <v>-124.73159699316895</v>
      </c>
      <c r="AD263">
        <f t="shared" si="106"/>
        <v>0</v>
      </c>
      <c r="AE263">
        <f t="shared" si="109"/>
        <v>0</v>
      </c>
    </row>
    <row r="264" spans="1:31" x14ac:dyDescent="0.2">
      <c r="A264" s="373">
        <v>16501.5</v>
      </c>
      <c r="B264" s="390">
        <f t="shared" si="103"/>
        <v>16.5015</v>
      </c>
      <c r="C264" s="363">
        <f t="shared" si="84"/>
        <v>23.308870844272359</v>
      </c>
      <c r="D264" s="364">
        <f t="shared" si="85"/>
        <v>1.5278810338844027</v>
      </c>
      <c r="E264" s="364">
        <f t="shared" si="86"/>
        <v>1.007710242555742</v>
      </c>
      <c r="F264" s="365">
        <f t="shared" si="87"/>
        <v>0.12378228030605139</v>
      </c>
      <c r="G264" s="364">
        <f t="shared" si="88"/>
        <v>1.1140248257803176</v>
      </c>
      <c r="H264" s="365">
        <f t="shared" si="89"/>
        <v>-0.45639736089538774</v>
      </c>
      <c r="I264" s="363">
        <f t="shared" si="90"/>
        <v>68451.287396261177</v>
      </c>
      <c r="J264" s="366">
        <f t="shared" si="91"/>
        <v>1.5707817178658601</v>
      </c>
      <c r="K264" s="374">
        <f t="shared" si="107"/>
        <v>21.202713525585803</v>
      </c>
      <c r="L264" s="375">
        <f t="shared" si="108"/>
        <v>1.5236150493925167</v>
      </c>
      <c r="M264" s="363">
        <f t="shared" si="92"/>
        <v>1.1970685226235855</v>
      </c>
      <c r="N264" s="366">
        <f t="shared" si="93"/>
        <v>0.58198337792796351</v>
      </c>
      <c r="O264" s="367">
        <f t="shared" si="94"/>
        <v>1.0351427963917927</v>
      </c>
      <c r="P264" s="368">
        <f t="shared" si="95"/>
        <v>0.32006563187088244</v>
      </c>
      <c r="Q264" s="369">
        <f t="shared" si="96"/>
        <v>-8.4009567288367464</v>
      </c>
      <c r="R264" s="370">
        <f t="shared" si="97"/>
        <v>-160.98462755642973</v>
      </c>
      <c r="S264" s="372">
        <f t="shared" si="98"/>
        <v>19.015372443570271</v>
      </c>
      <c r="U264" s="345">
        <f t="shared" si="104"/>
        <v>16501.5</v>
      </c>
      <c r="V264" s="345">
        <f t="shared" si="105"/>
        <v>272299502.25</v>
      </c>
      <c r="X264" s="371">
        <f t="shared" si="99"/>
        <v>16.354490612325641</v>
      </c>
      <c r="Y264" s="372">
        <f t="shared" si="100"/>
        <v>-36.047642380445225</v>
      </c>
      <c r="AA264" s="371">
        <f t="shared" si="101"/>
        <v>32.745777926671607</v>
      </c>
      <c r="AB264" s="372">
        <f t="shared" si="102"/>
        <v>-124.93698517598447</v>
      </c>
      <c r="AD264">
        <f t="shared" si="106"/>
        <v>0</v>
      </c>
      <c r="AE264">
        <f t="shared" si="109"/>
        <v>0</v>
      </c>
    </row>
    <row r="265" spans="1:31" x14ac:dyDescent="0.2">
      <c r="A265" s="373">
        <v>16596</v>
      </c>
      <c r="B265" s="390">
        <f t="shared" si="103"/>
        <v>16.596</v>
      </c>
      <c r="C265" s="363">
        <f t="shared" si="84"/>
        <v>23.442109978045341</v>
      </c>
      <c r="D265" s="364">
        <f t="shared" si="85"/>
        <v>1.5281251023339235</v>
      </c>
      <c r="E265" s="364">
        <f t="shared" si="86"/>
        <v>1.0077984620470137</v>
      </c>
      <c r="F265" s="365">
        <f t="shared" si="87"/>
        <v>0.12448387063511202</v>
      </c>
      <c r="G265" s="364">
        <f t="shared" si="88"/>
        <v>1.1152668291153589</v>
      </c>
      <c r="H265" s="365">
        <f t="shared" si="89"/>
        <v>-0.45866038849828705</v>
      </c>
      <c r="I265" s="363">
        <f t="shared" si="90"/>
        <v>68843.290950942275</v>
      </c>
      <c r="J265" s="366">
        <f t="shared" si="91"/>
        <v>1.5707818010511934</v>
      </c>
      <c r="K265" s="374">
        <f t="shared" si="107"/>
        <v>21.323866882113439</v>
      </c>
      <c r="L265" s="375">
        <f t="shared" si="108"/>
        <v>1.5238833112097601</v>
      </c>
      <c r="M265" s="363">
        <f t="shared" si="92"/>
        <v>1.1991439889103057</v>
      </c>
      <c r="N265" s="366">
        <f t="shared" si="93"/>
        <v>0.58460849677017801</v>
      </c>
      <c r="O265" s="367">
        <f t="shared" si="94"/>
        <v>1.0355412326971822</v>
      </c>
      <c r="P265" s="368">
        <f t="shared" si="95"/>
        <v>0.32183609016679277</v>
      </c>
      <c r="Q265" s="369">
        <f t="shared" si="96"/>
        <v>-8.4585261264382741</v>
      </c>
      <c r="R265" s="370">
        <f t="shared" si="97"/>
        <v>-161.32455792942807</v>
      </c>
      <c r="S265" s="372">
        <f t="shared" si="98"/>
        <v>18.675442070571933</v>
      </c>
      <c r="U265" s="345">
        <f t="shared" si="104"/>
        <v>16596</v>
      </c>
      <c r="V265" s="345">
        <f t="shared" si="105"/>
        <v>275427216</v>
      </c>
      <c r="X265" s="371">
        <f t="shared" si="99"/>
        <v>16.339334432346025</v>
      </c>
      <c r="Y265" s="372">
        <f t="shared" si="100"/>
        <v>-36.182685107214645</v>
      </c>
      <c r="AA265" s="371">
        <f t="shared" si="101"/>
        <v>32.703364709049701</v>
      </c>
      <c r="AB265" s="372">
        <f t="shared" si="102"/>
        <v>-125.14187282221339</v>
      </c>
      <c r="AD265">
        <f t="shared" si="106"/>
        <v>0</v>
      </c>
      <c r="AE265">
        <f t="shared" si="109"/>
        <v>0</v>
      </c>
    </row>
    <row r="266" spans="1:31" x14ac:dyDescent="0.2">
      <c r="A266" s="373">
        <v>16692.5</v>
      </c>
      <c r="B266" s="390">
        <f t="shared" si="103"/>
        <v>16.692499999999999</v>
      </c>
      <c r="C266" s="363">
        <f t="shared" si="84"/>
        <v>23.578170412282599</v>
      </c>
      <c r="D266" s="364">
        <f t="shared" si="85"/>
        <v>1.5283714896123133</v>
      </c>
      <c r="E266" s="364">
        <f t="shared" si="86"/>
        <v>1.007889060453645</v>
      </c>
      <c r="F266" s="365">
        <f t="shared" si="87"/>
        <v>0.12520018232992983</v>
      </c>
      <c r="G266" s="364">
        <f t="shared" si="88"/>
        <v>1.1165409991747237</v>
      </c>
      <c r="H266" s="365">
        <f t="shared" si="89"/>
        <v>-0.46096610317679126</v>
      </c>
      <c r="I266" s="363">
        <f t="shared" si="90"/>
        <v>69243.59087715151</v>
      </c>
      <c r="J266" s="366">
        <f t="shared" si="91"/>
        <v>1.5707818850250899</v>
      </c>
      <c r="K266" s="374">
        <f t="shared" si="107"/>
        <v>21.447585896381383</v>
      </c>
      <c r="L266" s="375">
        <f t="shared" si="108"/>
        <v>1.5241541228931996</v>
      </c>
      <c r="M266" s="363">
        <f t="shared" si="92"/>
        <v>1.2012718783820815</v>
      </c>
      <c r="N266" s="366">
        <f t="shared" si="93"/>
        <v>0.58727979386817086</v>
      </c>
      <c r="O266" s="367">
        <f t="shared" si="94"/>
        <v>1.0359503302322652</v>
      </c>
      <c r="P266" s="368">
        <f t="shared" si="95"/>
        <v>0.32364296939508147</v>
      </c>
      <c r="Q266" s="369">
        <f t="shared" si="96"/>
        <v>-8.5170359627150685</v>
      </c>
      <c r="R266" s="370">
        <f t="shared" si="97"/>
        <v>-161.6708100121692</v>
      </c>
      <c r="S266" s="372">
        <f t="shared" si="98"/>
        <v>18.329189987830802</v>
      </c>
      <c r="U266" s="345">
        <f t="shared" si="104"/>
        <v>16692.5</v>
      </c>
      <c r="V266" s="345">
        <f t="shared" si="105"/>
        <v>278639556.25</v>
      </c>
      <c r="X266" s="371">
        <f t="shared" si="99"/>
        <v>16.323824806615043</v>
      </c>
      <c r="Y266" s="372">
        <f t="shared" si="100"/>
        <v>-36.320227601758297</v>
      </c>
      <c r="AA266" s="371">
        <f t="shared" si="101"/>
        <v>32.660364498503888</v>
      </c>
      <c r="AB266" s="372">
        <f t="shared" si="102"/>
        <v>-125.35058241041087</v>
      </c>
      <c r="AD266">
        <f t="shared" si="106"/>
        <v>0</v>
      </c>
      <c r="AE266">
        <f t="shared" si="109"/>
        <v>0</v>
      </c>
    </row>
    <row r="267" spans="1:31" x14ac:dyDescent="0.2">
      <c r="A267" s="373">
        <v>16789</v>
      </c>
      <c r="B267" s="390">
        <f t="shared" si="103"/>
        <v>16.789000000000001</v>
      </c>
      <c r="C267" s="363">
        <f t="shared" si="84"/>
        <v>23.714232261447748</v>
      </c>
      <c r="D267" s="364">
        <f t="shared" si="85"/>
        <v>1.5286150495813726</v>
      </c>
      <c r="E267" s="364">
        <f t="shared" si="86"/>
        <v>1.0079801759174978</v>
      </c>
      <c r="F267" s="365">
        <f t="shared" si="87"/>
        <v>0.12591636489146121</v>
      </c>
      <c r="G267" s="364">
        <f t="shared" si="88"/>
        <v>1.1178210915728712</v>
      </c>
      <c r="H267" s="365">
        <f t="shared" si="89"/>
        <v>-0.46326654920283727</v>
      </c>
      <c r="I267" s="363">
        <f t="shared" si="90"/>
        <v>69643.890803361195</v>
      </c>
      <c r="J267" s="366">
        <f t="shared" si="91"/>
        <v>1.5707819680336543</v>
      </c>
      <c r="K267" s="374">
        <f t="shared" si="107"/>
        <v>21.571306465550308</v>
      </c>
      <c r="L267" s="375">
        <f t="shared" si="108"/>
        <v>1.5244218281569213</v>
      </c>
      <c r="M267" s="363">
        <f t="shared" si="92"/>
        <v>1.203408309573383</v>
      </c>
      <c r="N267" s="366">
        <f t="shared" si="93"/>
        <v>0.5899416251063444</v>
      </c>
      <c r="O267" s="367">
        <f t="shared" si="94"/>
        <v>1.0363616778758666</v>
      </c>
      <c r="P267" s="368">
        <f t="shared" si="95"/>
        <v>0.32544878396252491</v>
      </c>
      <c r="Q267" s="369">
        <f t="shared" si="96"/>
        <v>-8.5752679915448589</v>
      </c>
      <c r="R267" s="370">
        <f t="shared" si="97"/>
        <v>-162.01618020429959</v>
      </c>
      <c r="S267" s="372">
        <f t="shared" si="98"/>
        <v>17.983819795700413</v>
      </c>
      <c r="U267" s="345">
        <f t="shared" si="104"/>
        <v>16789</v>
      </c>
      <c r="V267" s="345">
        <f t="shared" si="105"/>
        <v>281870521</v>
      </c>
      <c r="X267" s="371">
        <f t="shared" si="99"/>
        <v>16.308282673295761</v>
      </c>
      <c r="Y267" s="372">
        <f t="shared" si="100"/>
        <v>-36.457405671914195</v>
      </c>
      <c r="AA267" s="371">
        <f t="shared" si="101"/>
        <v>32.617674602993382</v>
      </c>
      <c r="AB267" s="372">
        <f t="shared" si="102"/>
        <v>-125.55877453238541</v>
      </c>
      <c r="AD267">
        <f t="shared" si="106"/>
        <v>0</v>
      </c>
      <c r="AE267">
        <f t="shared" si="109"/>
        <v>0</v>
      </c>
    </row>
    <row r="268" spans="1:31" x14ac:dyDescent="0.2">
      <c r="A268" s="373">
        <v>16885.5</v>
      </c>
      <c r="B268" s="390">
        <f t="shared" si="103"/>
        <v>16.8855</v>
      </c>
      <c r="C268" s="363">
        <f t="shared" si="84"/>
        <v>23.850295501325</v>
      </c>
      <c r="D268" s="364">
        <f t="shared" si="85"/>
        <v>1.5288558306003956</v>
      </c>
      <c r="E268" s="364">
        <f t="shared" si="86"/>
        <v>1.008071808298368</v>
      </c>
      <c r="F268" s="365">
        <f t="shared" si="87"/>
        <v>0.12663241762013661</v>
      </c>
      <c r="G268" s="364">
        <f t="shared" si="88"/>
        <v>1.1191070859869718</v>
      </c>
      <c r="H268" s="365">
        <f t="shared" si="89"/>
        <v>-0.4655617203497755</v>
      </c>
      <c r="I268" s="363">
        <f t="shared" si="90"/>
        <v>70044.19072957139</v>
      </c>
      <c r="J268" s="366">
        <f t="shared" si="91"/>
        <v>1.5707820500934369</v>
      </c>
      <c r="K268" s="374">
        <f t="shared" si="107"/>
        <v>21.695028563018738</v>
      </c>
      <c r="L268" s="375">
        <f t="shared" si="108"/>
        <v>1.5246864801079592</v>
      </c>
      <c r="M268" s="363">
        <f t="shared" si="92"/>
        <v>1.2055532370723734</v>
      </c>
      <c r="N268" s="366">
        <f t="shared" si="93"/>
        <v>0.59259400318996169</v>
      </c>
      <c r="O268" s="367">
        <f t="shared" si="94"/>
        <v>1.0367752736629523</v>
      </c>
      <c r="P268" s="368">
        <f t="shared" si="95"/>
        <v>0.32725352926921308</v>
      </c>
      <c r="Q268" s="369">
        <f t="shared" si="96"/>
        <v>-8.6332252436471855</v>
      </c>
      <c r="R268" s="370">
        <f t="shared" si="97"/>
        <v>-162.36066838246634</v>
      </c>
      <c r="S268" s="372">
        <f t="shared" si="98"/>
        <v>17.639331617533657</v>
      </c>
      <c r="U268" s="345">
        <f t="shared" si="104"/>
        <v>16885.5</v>
      </c>
      <c r="V268" s="345">
        <f t="shared" si="105"/>
        <v>285120110.25</v>
      </c>
      <c r="X268" s="371">
        <f t="shared" si="99"/>
        <v>16.292708548036732</v>
      </c>
      <c r="Y268" s="372">
        <f t="shared" si="100"/>
        <v>-36.594217003779619</v>
      </c>
      <c r="AA268" s="371">
        <f t="shared" si="101"/>
        <v>32.575291476150085</v>
      </c>
      <c r="AB268" s="372">
        <f t="shared" si="102"/>
        <v>-125.76645137868671</v>
      </c>
      <c r="AD268">
        <f t="shared" si="106"/>
        <v>0</v>
      </c>
      <c r="AE268">
        <f t="shared" si="109"/>
        <v>0</v>
      </c>
    </row>
    <row r="269" spans="1:31" x14ac:dyDescent="0.2">
      <c r="A269" s="373">
        <v>16982</v>
      </c>
      <c r="B269" s="390">
        <f t="shared" si="103"/>
        <v>16.981999999999999</v>
      </c>
      <c r="C269" s="363">
        <f t="shared" ref="C269:C332" si="110">SQRT(1+(A269/pole1)^2)</f>
        <v>23.986360108247823</v>
      </c>
      <c r="D269" s="364">
        <f t="shared" ref="D269:D332" si="111">ATAN(A269/pole1)</f>
        <v>1.5290938799326932</v>
      </c>
      <c r="E269" s="364">
        <f t="shared" ref="E269:E332" si="112">SQRT(1+(A269/Zero1)^2)</f>
        <v>1.0081639574553072</v>
      </c>
      <c r="F269" s="365">
        <f t="shared" ref="F269:F332" si="113">ATAN(A269/Zero1)</f>
        <v>0.12734833981717261</v>
      </c>
      <c r="G269" s="364">
        <f t="shared" ref="G269:G332" si="114">IF(VIN_nom&gt;Vout, 1, SQRT(1+(A269/z_RHP)^2))</f>
        <v>1.1203989620940165</v>
      </c>
      <c r="H269" s="365">
        <f t="shared" ref="H269:H332" si="115">IF(VIN_nom&gt;Vout, 0, -ATAN(A269/z_RHP))</f>
        <v>-0.46785161064177339</v>
      </c>
      <c r="I269" s="363">
        <f t="shared" ref="I269:I332" si="116">SQRT(1+(A269/Pole2)^2)</f>
        <v>70444.490655782021</v>
      </c>
      <c r="J269" s="366">
        <f t="shared" ref="J269:J332" si="117">ATAN(A269/Pole2)</f>
        <v>1.5707821312206123</v>
      </c>
      <c r="K269" s="374">
        <f t="shared" si="107"/>
        <v>21.81875216278824</v>
      </c>
      <c r="L269" s="375">
        <f t="shared" si="108"/>
        <v>1.5249481306505039</v>
      </c>
      <c r="M269" s="363">
        <f t="shared" ref="M269:M332" si="118">SQRT(1+(A269/pole4)^2)</f>
        <v>1.2077066156098701</v>
      </c>
      <c r="N269" s="366">
        <f t="shared" ref="N269:N332" si="119">ATAN(A269/pole4)</f>
        <v>0.59523694126623505</v>
      </c>
      <c r="O269" s="367">
        <f t="shared" ref="O269:O332" si="120">SQRT((1-(V269/pterm2))^2+(A269/pterm1)^2)</f>
        <v>1.0371911156211049</v>
      </c>
      <c r="P269" s="368">
        <f t="shared" ref="P269:P332" si="121">IF((ATAN((A269/pterm1)/(1-A269^2/pterm2))&gt;0),ATAN((A269/pterm1)/(1-A269^2/pterm2)),PI()+ATAN((A269/pterm1)/(1-A269^2/pterm2)))</f>
        <v>0.32905720073863304</v>
      </c>
      <c r="Q269" s="369">
        <f t="shared" ref="Q269:Q332" si="122">20*LOG10(((E269*K269*G269)/(C269*I269*O269*M269))*Adc)</f>
        <v>-8.6909106957671991</v>
      </c>
      <c r="R269" s="370">
        <f t="shared" ref="R269:R332" si="123">((F269+L269+H269)-(D269+J269+P269+N269))*radconv</f>
        <v>-162.70427447040555</v>
      </c>
      <c r="S269" s="372">
        <f t="shared" ref="S269:S332" si="124">IF(R269&gt;0,R269,R269+180)</f>
        <v>17.295725529594449</v>
      </c>
      <c r="U269" s="345">
        <f t="shared" si="104"/>
        <v>16982</v>
      </c>
      <c r="V269" s="345">
        <f t="shared" si="105"/>
        <v>288388324</v>
      </c>
      <c r="X269" s="371">
        <f t="shared" ref="X269:X332" si="125">20*LOG10((K269/(I269*M269))*AEA)</f>
        <v>16.27710294383666</v>
      </c>
      <c r="Y269" s="372">
        <f t="shared" ref="Y269:Y332" si="126">(L269-(J269+N269))*radconv</f>
        <v>-36.730659377670037</v>
      </c>
      <c r="AA269" s="371">
        <f t="shared" ref="AA269:AA332" si="127">20*LOG10((E269*G269/(C269*O269))*Acs*Am)</f>
        <v>32.533211628230141</v>
      </c>
      <c r="AB269" s="372">
        <f t="shared" ref="AB269:AB332" si="128">(F269+H269-(D269+P269))*radconv</f>
        <v>-125.97361509273546</v>
      </c>
      <c r="AD269">
        <f t="shared" si="106"/>
        <v>0</v>
      </c>
      <c r="AE269">
        <f t="shared" si="109"/>
        <v>0</v>
      </c>
    </row>
    <row r="270" spans="1:31" x14ac:dyDescent="0.2">
      <c r="A270" s="373">
        <v>17081</v>
      </c>
      <c r="B270" s="390">
        <f t="shared" ref="B270:B333" si="129">A270/1000</f>
        <v>17.081</v>
      </c>
      <c r="C270" s="363">
        <f t="shared" si="110"/>
        <v>24.12595110137158</v>
      </c>
      <c r="D270" s="364">
        <f t="shared" si="111"/>
        <v>1.529335306005557</v>
      </c>
      <c r="E270" s="364">
        <f t="shared" si="112"/>
        <v>1.0082590307790433</v>
      </c>
      <c r="F270" s="365">
        <f t="shared" si="113"/>
        <v>0.12808267284185942</v>
      </c>
      <c r="G270" s="364">
        <f t="shared" si="114"/>
        <v>1.1217303974228865</v>
      </c>
      <c r="H270" s="365">
        <f t="shared" si="115"/>
        <v>-0.47019533067378638</v>
      </c>
      <c r="I270" s="363">
        <f t="shared" si="116"/>
        <v>70855.161046402747</v>
      </c>
      <c r="J270" s="366">
        <f t="shared" si="117"/>
        <v>1.570782213496934</v>
      </c>
      <c r="K270" s="374">
        <f t="shared" si="107"/>
        <v>21.945682571715377</v>
      </c>
      <c r="L270" s="375">
        <f t="shared" si="108"/>
        <v>1.5252134938250943</v>
      </c>
      <c r="M270" s="363">
        <f t="shared" si="118"/>
        <v>1.209924516141573</v>
      </c>
      <c r="N270" s="366">
        <f t="shared" si="119"/>
        <v>0.59793855346440206</v>
      </c>
      <c r="O270" s="367">
        <f t="shared" si="120"/>
        <v>1.0376200628231009</v>
      </c>
      <c r="P270" s="368">
        <f t="shared" si="121"/>
        <v>0.33090647874890772</v>
      </c>
      <c r="Q270" s="369">
        <f t="shared" si="122"/>
        <v>-8.7498112008487166</v>
      </c>
      <c r="R270" s="370">
        <f t="shared" si="123"/>
        <v>-163.05586557508468</v>
      </c>
      <c r="S270" s="372">
        <f t="shared" si="124"/>
        <v>16.944134424915319</v>
      </c>
      <c r="U270" s="345">
        <f t="shared" ref="U270:U333" si="130">IF(Q270&lt;0,A270,1000000000)</f>
        <v>17081</v>
      </c>
      <c r="V270" s="345">
        <f t="shared" ref="V270:V333" si="131">A270^2</f>
        <v>291760561</v>
      </c>
      <c r="X270" s="371">
        <f t="shared" si="125"/>
        <v>16.261060871449899</v>
      </c>
      <c r="Y270" s="372">
        <f t="shared" si="126"/>
        <v>-36.870250878809358</v>
      </c>
      <c r="AA270" s="371">
        <f t="shared" si="127"/>
        <v>32.490353195535384</v>
      </c>
      <c r="AB270" s="372">
        <f t="shared" si="128"/>
        <v>-126.18561469627529</v>
      </c>
      <c r="AD270">
        <f t="shared" ref="AD270:AD333" si="132">SUM((Q271&lt;0)*(Q270&gt;0))*A270</f>
        <v>0</v>
      </c>
      <c r="AE270">
        <f t="shared" si="109"/>
        <v>0</v>
      </c>
    </row>
    <row r="271" spans="1:31" x14ac:dyDescent="0.2">
      <c r="A271" s="373">
        <v>17180</v>
      </c>
      <c r="B271" s="390">
        <f t="shared" si="129"/>
        <v>17.18</v>
      </c>
      <c r="C271" s="363">
        <f t="shared" si="110"/>
        <v>24.265543484534764</v>
      </c>
      <c r="D271" s="364">
        <f t="shared" si="111"/>
        <v>1.5295739543888349</v>
      </c>
      <c r="E271" s="364">
        <f t="shared" si="112"/>
        <v>1.0083546476987146</v>
      </c>
      <c r="F271" s="365">
        <f t="shared" si="113"/>
        <v>0.12881686699658743</v>
      </c>
      <c r="G271" s="364">
        <f t="shared" si="114"/>
        <v>1.1230679798137824</v>
      </c>
      <c r="H271" s="365">
        <f t="shared" si="115"/>
        <v>-0.47253348074759477</v>
      </c>
      <c r="I271" s="363">
        <f t="shared" si="116"/>
        <v>71265.831437023953</v>
      </c>
      <c r="J271" s="366">
        <f t="shared" si="117"/>
        <v>1.570782294825019</v>
      </c>
      <c r="K271" s="374">
        <f t="shared" si="107"/>
        <v>22.072614508231592</v>
      </c>
      <c r="L271" s="375">
        <f t="shared" si="108"/>
        <v>1.5254758049951553</v>
      </c>
      <c r="M271" s="363">
        <f t="shared" si="118"/>
        <v>1.2121512152059246</v>
      </c>
      <c r="N271" s="366">
        <f t="shared" si="119"/>
        <v>0.6006302596266001</v>
      </c>
      <c r="O271" s="367">
        <f t="shared" si="120"/>
        <v>1.0380513698563596</v>
      </c>
      <c r="P271" s="368">
        <f t="shared" si="121"/>
        <v>0.33275461687953589</v>
      </c>
      <c r="Q271" s="369">
        <f t="shared" si="122"/>
        <v>-8.8084318189563167</v>
      </c>
      <c r="R271" s="370">
        <f t="shared" si="123"/>
        <v>-163.406528279741</v>
      </c>
      <c r="S271" s="372">
        <f t="shared" si="124"/>
        <v>16.593471720259004</v>
      </c>
      <c r="U271" s="345">
        <f t="shared" si="130"/>
        <v>17180</v>
      </c>
      <c r="V271" s="345">
        <f t="shared" si="131"/>
        <v>295152400</v>
      </c>
      <c r="X271" s="371">
        <f t="shared" si="125"/>
        <v>16.244986753004419</v>
      </c>
      <c r="Y271" s="372">
        <f t="shared" si="126"/>
        <v>-37.009449618544096</v>
      </c>
      <c r="AA271" s="371">
        <f t="shared" si="127"/>
        <v>32.447806695873268</v>
      </c>
      <c r="AB271" s="372">
        <f t="shared" si="128"/>
        <v>-126.3970786611969</v>
      </c>
      <c r="AD271">
        <f t="shared" si="132"/>
        <v>0</v>
      </c>
      <c r="AE271">
        <f t="shared" si="109"/>
        <v>0</v>
      </c>
    </row>
    <row r="272" spans="1:31" x14ac:dyDescent="0.2">
      <c r="A272" s="373">
        <v>17279</v>
      </c>
      <c r="B272" s="390">
        <f t="shared" si="129"/>
        <v>17.279</v>
      </c>
      <c r="C272" s="363">
        <f t="shared" si="110"/>
        <v>24.405137233885156</v>
      </c>
      <c r="D272" s="364">
        <f t="shared" si="111"/>
        <v>1.5298098727190195</v>
      </c>
      <c r="E272" s="364">
        <f t="shared" si="112"/>
        <v>1.008450808059697</v>
      </c>
      <c r="F272" s="365">
        <f t="shared" si="113"/>
        <v>0.12955092152944925</v>
      </c>
      <c r="G272" s="364">
        <f t="shared" si="114"/>
        <v>1.1244116873293606</v>
      </c>
      <c r="H272" s="365">
        <f t="shared" si="115"/>
        <v>-0.47486605522160541</v>
      </c>
      <c r="I272" s="363">
        <f t="shared" si="116"/>
        <v>71676.501827645625</v>
      </c>
      <c r="J272" s="366">
        <f t="shared" si="117"/>
        <v>1.5707823752211656</v>
      </c>
      <c r="K272" s="374">
        <f t="shared" si="107"/>
        <v>22.199547946133674</v>
      </c>
      <c r="L272" s="375">
        <f t="shared" si="108"/>
        <v>1.5257351164768866</v>
      </c>
      <c r="M272" s="363">
        <f t="shared" si="118"/>
        <v>1.2143866644039647</v>
      </c>
      <c r="N272" s="366">
        <f t="shared" si="119"/>
        <v>0.60331207534683751</v>
      </c>
      <c r="O272" s="367">
        <f t="shared" si="120"/>
        <v>1.0384850345673158</v>
      </c>
      <c r="P272" s="368">
        <f t="shared" si="121"/>
        <v>0.33460161026608426</v>
      </c>
      <c r="Q272" s="369">
        <f t="shared" si="122"/>
        <v>-8.8667755955454535</v>
      </c>
      <c r="R272" s="370">
        <f t="shared" si="123"/>
        <v>-163.75626265178198</v>
      </c>
      <c r="S272" s="372">
        <f t="shared" si="124"/>
        <v>16.243737348218019</v>
      </c>
      <c r="U272" s="345">
        <f t="shared" si="130"/>
        <v>17279</v>
      </c>
      <c r="V272" s="345">
        <f t="shared" si="131"/>
        <v>298563841</v>
      </c>
      <c r="X272" s="371">
        <f t="shared" si="125"/>
        <v>16.228881133371267</v>
      </c>
      <c r="Y272" s="372">
        <f t="shared" si="126"/>
        <v>-37.148253493781553</v>
      </c>
      <c r="AA272" s="371">
        <f t="shared" si="127"/>
        <v>32.405568538917279</v>
      </c>
      <c r="AB272" s="372">
        <f t="shared" si="128"/>
        <v>-126.60800915800039</v>
      </c>
      <c r="AD272">
        <f t="shared" si="132"/>
        <v>0</v>
      </c>
      <c r="AE272">
        <f t="shared" si="109"/>
        <v>0</v>
      </c>
    </row>
    <row r="273" spans="1:31" x14ac:dyDescent="0.2">
      <c r="A273" s="373">
        <v>17378</v>
      </c>
      <c r="B273" s="390">
        <f t="shared" si="129"/>
        <v>17.378</v>
      </c>
      <c r="C273" s="363">
        <f t="shared" si="110"/>
        <v>24.544732326112936</v>
      </c>
      <c r="D273" s="364">
        <f t="shared" si="111"/>
        <v>1.5300431075501282</v>
      </c>
      <c r="E273" s="364">
        <f t="shared" si="112"/>
        <v>1.0085475117065466</v>
      </c>
      <c r="F273" s="365">
        <f t="shared" si="113"/>
        <v>0.13028483568942537</v>
      </c>
      <c r="G273" s="364">
        <f t="shared" si="114"/>
        <v>1.1257614980367983</v>
      </c>
      <c r="H273" s="365">
        <f t="shared" si="115"/>
        <v>-0.47719304872378743</v>
      </c>
      <c r="I273" s="363">
        <f t="shared" si="116"/>
        <v>72087.172218267733</v>
      </c>
      <c r="J273" s="366">
        <f t="shared" si="117"/>
        <v>1.5707824547013014</v>
      </c>
      <c r="K273" s="374">
        <f t="shared" si="107"/>
        <v>22.326482859813989</v>
      </c>
      <c r="L273" s="375">
        <f t="shared" si="108"/>
        <v>1.5259914793983687</v>
      </c>
      <c r="M273" s="363">
        <f t="shared" si="118"/>
        <v>1.2166308155029542</v>
      </c>
      <c r="N273" s="366">
        <f t="shared" si="119"/>
        <v>0.60598401667380308</v>
      </c>
      <c r="O273" s="367">
        <f t="shared" si="120"/>
        <v>1.0389210547944836</v>
      </c>
      <c r="P273" s="368">
        <f t="shared" si="121"/>
        <v>0.33644745407022925</v>
      </c>
      <c r="Q273" s="369">
        <f t="shared" si="122"/>
        <v>-8.9248455218385399</v>
      </c>
      <c r="R273" s="370">
        <f t="shared" si="123"/>
        <v>-164.10506880758774</v>
      </c>
      <c r="S273" s="372">
        <f t="shared" si="124"/>
        <v>15.894931192412258</v>
      </c>
      <c r="U273" s="345">
        <f t="shared" si="130"/>
        <v>17378</v>
      </c>
      <c r="V273" s="345">
        <f t="shared" si="131"/>
        <v>301994884</v>
      </c>
      <c r="X273" s="371">
        <f t="shared" si="125"/>
        <v>16.212744554262265</v>
      </c>
      <c r="Y273" s="372">
        <f t="shared" si="126"/>
        <v>-37.286660495533191</v>
      </c>
      <c r="AA273" s="371">
        <f t="shared" si="127"/>
        <v>32.363635191733195</v>
      </c>
      <c r="AB273" s="372">
        <f t="shared" si="128"/>
        <v>-126.81840831205456</v>
      </c>
      <c r="AD273">
        <f t="shared" si="132"/>
        <v>0</v>
      </c>
      <c r="AE273">
        <f t="shared" si="109"/>
        <v>0</v>
      </c>
    </row>
    <row r="274" spans="1:31" x14ac:dyDescent="0.2">
      <c r="A274" s="373">
        <v>17479.25</v>
      </c>
      <c r="B274" s="390">
        <f t="shared" si="129"/>
        <v>17.47925</v>
      </c>
      <c r="C274" s="363">
        <f t="shared" si="110"/>
        <v>24.687501399336451</v>
      </c>
      <c r="D274" s="364">
        <f t="shared" si="111"/>
        <v>1.5302789149133267</v>
      </c>
      <c r="E274" s="364">
        <f t="shared" si="112"/>
        <v>1.0086469749479803</v>
      </c>
      <c r="F274" s="365">
        <f t="shared" si="113"/>
        <v>0.13103528374032897</v>
      </c>
      <c r="G274" s="364">
        <f t="shared" si="114"/>
        <v>1.1271482762396687</v>
      </c>
      <c r="H274" s="365">
        <f t="shared" si="115"/>
        <v>-0.47956715044997117</v>
      </c>
      <c r="I274" s="363">
        <f t="shared" si="116"/>
        <v>72507.176026859001</v>
      </c>
      <c r="J274" s="366">
        <f t="shared" si="117"/>
        <v>1.5707825350565499</v>
      </c>
      <c r="K274" s="374">
        <f t="shared" si="107"/>
        <v>22.456304158284784</v>
      </c>
      <c r="L274" s="375">
        <f t="shared" si="108"/>
        <v>1.5262506709839621</v>
      </c>
      <c r="M274" s="363">
        <f t="shared" si="118"/>
        <v>1.2189349207488702</v>
      </c>
      <c r="N274" s="366">
        <f t="shared" si="119"/>
        <v>0.60870648756262158</v>
      </c>
      <c r="O274" s="367">
        <f t="shared" si="120"/>
        <v>1.0393694187376146</v>
      </c>
      <c r="P274" s="368">
        <f t="shared" si="121"/>
        <v>0.33833405478529877</v>
      </c>
      <c r="Q274" s="369">
        <f t="shared" si="122"/>
        <v>-8.9839550242970549</v>
      </c>
      <c r="R274" s="370">
        <f t="shared" si="123"/>
        <v>-164.46084244812127</v>
      </c>
      <c r="S274" s="372">
        <f t="shared" si="124"/>
        <v>15.539157551878731</v>
      </c>
      <c r="U274" s="345">
        <f t="shared" si="130"/>
        <v>17479.25</v>
      </c>
      <c r="V274" s="345">
        <f t="shared" si="131"/>
        <v>305524180.5625</v>
      </c>
      <c r="X274" s="371">
        <f t="shared" si="125"/>
        <v>16.196209773011191</v>
      </c>
      <c r="Y274" s="372">
        <f t="shared" si="126"/>
        <v>-37.427800607547802</v>
      </c>
      <c r="AA274" s="371">
        <f t="shared" si="127"/>
        <v>32.321060470525758</v>
      </c>
      <c r="AB274" s="372">
        <f t="shared" si="128"/>
        <v>-127.03304184057349</v>
      </c>
      <c r="AD274">
        <f t="shared" si="132"/>
        <v>0</v>
      </c>
      <c r="AE274">
        <f t="shared" si="109"/>
        <v>0</v>
      </c>
    </row>
    <row r="275" spans="1:31" x14ac:dyDescent="0.2">
      <c r="A275" s="373">
        <v>17580.5</v>
      </c>
      <c r="B275" s="390">
        <f t="shared" si="129"/>
        <v>17.580500000000001</v>
      </c>
      <c r="C275" s="363">
        <f t="shared" si="110"/>
        <v>24.830271829525135</v>
      </c>
      <c r="D275" s="364">
        <f t="shared" si="111"/>
        <v>1.5305120105736862</v>
      </c>
      <c r="E275" s="364">
        <f t="shared" si="112"/>
        <v>1.0087470061192223</v>
      </c>
      <c r="F275" s="365">
        <f t="shared" si="113"/>
        <v>0.13178558337917248</v>
      </c>
      <c r="G275" s="364">
        <f t="shared" si="114"/>
        <v>1.1285413918205571</v>
      </c>
      <c r="H275" s="365">
        <f t="shared" si="115"/>
        <v>-0.481935404129258</v>
      </c>
      <c r="I275" s="363">
        <f t="shared" si="116"/>
        <v>72927.179835450734</v>
      </c>
      <c r="J275" s="366">
        <f t="shared" si="117"/>
        <v>1.5707826144862309</v>
      </c>
      <c r="K275" s="374">
        <f t="shared" si="107"/>
        <v>22.586126948033673</v>
      </c>
      <c r="L275" s="375">
        <f t="shared" si="108"/>
        <v>1.526506882972188</v>
      </c>
      <c r="M275" s="363">
        <f t="shared" si="118"/>
        <v>1.221248026425185</v>
      </c>
      <c r="N275" s="366">
        <f t="shared" si="119"/>
        <v>0.6114186654946191</v>
      </c>
      <c r="O275" s="367">
        <f t="shared" si="120"/>
        <v>1.0398202418844049</v>
      </c>
      <c r="P275" s="368">
        <f t="shared" si="121"/>
        <v>0.34021944291770445</v>
      </c>
      <c r="Q275" s="369">
        <f t="shared" si="122"/>
        <v>-9.0427842477798723</v>
      </c>
      <c r="R275" s="370">
        <f t="shared" si="123"/>
        <v>-164.81564560097402</v>
      </c>
      <c r="S275" s="372">
        <f t="shared" si="124"/>
        <v>15.184354399025978</v>
      </c>
      <c r="U275" s="345">
        <f t="shared" si="130"/>
        <v>17580.5</v>
      </c>
      <c r="V275" s="345">
        <f t="shared" si="131"/>
        <v>309073980.25</v>
      </c>
      <c r="X275" s="371">
        <f t="shared" si="125"/>
        <v>16.17964374482591</v>
      </c>
      <c r="Y275" s="372">
        <f t="shared" si="126"/>
        <v>-37.568521641900062</v>
      </c>
      <c r="AA275" s="371">
        <f t="shared" si="127"/>
        <v>32.278797275228214</v>
      </c>
      <c r="AB275" s="372">
        <f t="shared" si="128"/>
        <v>-127.24712395907396</v>
      </c>
      <c r="AD275">
        <f t="shared" si="132"/>
        <v>0</v>
      </c>
      <c r="AE275">
        <f t="shared" si="109"/>
        <v>0</v>
      </c>
    </row>
    <row r="276" spans="1:31" x14ac:dyDescent="0.2">
      <c r="A276" s="373">
        <v>17681.75</v>
      </c>
      <c r="B276" s="390">
        <f t="shared" si="129"/>
        <v>17.681750000000001</v>
      </c>
      <c r="C276" s="363">
        <f t="shared" si="110"/>
        <v>24.973043593405741</v>
      </c>
      <c r="D276" s="364">
        <f t="shared" si="111"/>
        <v>1.5307424410143571</v>
      </c>
      <c r="E276" s="364">
        <f t="shared" si="112"/>
        <v>1.0088476050513353</v>
      </c>
      <c r="F276" s="365">
        <f t="shared" si="113"/>
        <v>0.13253573380546738</v>
      </c>
      <c r="G276" s="364">
        <f t="shared" si="114"/>
        <v>1.1299408213392093</v>
      </c>
      <c r="H276" s="365">
        <f t="shared" si="115"/>
        <v>-0.48429780487589558</v>
      </c>
      <c r="I276" s="363">
        <f t="shared" si="116"/>
        <v>73347.183644042932</v>
      </c>
      <c r="J276" s="366">
        <f t="shared" si="117"/>
        <v>1.5707826930062445</v>
      </c>
      <c r="K276" s="374">
        <f t="shared" si="107"/>
        <v>22.715951203492473</v>
      </c>
      <c r="L276" s="375">
        <f t="shared" si="108"/>
        <v>1.5267601664153345</v>
      </c>
      <c r="M276" s="363">
        <f t="shared" si="118"/>
        <v>1.2235700814871411</v>
      </c>
      <c r="N276" s="366">
        <f t="shared" si="119"/>
        <v>0.61412056905696211</v>
      </c>
      <c r="O276" s="367">
        <f t="shared" si="120"/>
        <v>1.0402735218973416</v>
      </c>
      <c r="P276" s="368">
        <f t="shared" si="121"/>
        <v>0.34210361337671907</v>
      </c>
      <c r="Q276" s="369">
        <f t="shared" si="122"/>
        <v>-9.1013362244945348</v>
      </c>
      <c r="R276" s="370">
        <f t="shared" si="123"/>
        <v>-165.16947854448529</v>
      </c>
      <c r="S276" s="372">
        <f t="shared" si="124"/>
        <v>14.830521455514713</v>
      </c>
      <c r="U276" s="345">
        <f t="shared" si="130"/>
        <v>17681.75</v>
      </c>
      <c r="V276" s="345">
        <f t="shared" si="131"/>
        <v>312644283.0625</v>
      </c>
      <c r="X276" s="371">
        <f t="shared" si="125"/>
        <v>16.163047038631145</v>
      </c>
      <c r="Y276" s="372">
        <f t="shared" si="126"/>
        <v>-37.708821739386529</v>
      </c>
      <c r="AA276" s="371">
        <f t="shared" si="127"/>
        <v>32.236842004708322</v>
      </c>
      <c r="AB276" s="372">
        <f t="shared" si="128"/>
        <v>-127.46065680509875</v>
      </c>
      <c r="AD276">
        <f t="shared" si="132"/>
        <v>0</v>
      </c>
      <c r="AE276">
        <f t="shared" si="109"/>
        <v>0</v>
      </c>
    </row>
    <row r="277" spans="1:31" x14ac:dyDescent="0.2">
      <c r="A277" s="373">
        <v>17783</v>
      </c>
      <c r="B277" s="390">
        <f t="shared" si="129"/>
        <v>17.783000000000001</v>
      </c>
      <c r="C277" s="363">
        <f t="shared" si="110"/>
        <v>25.115816668234018</v>
      </c>
      <c r="D277" s="364">
        <f t="shared" si="111"/>
        <v>1.5309702516626864</v>
      </c>
      <c r="E277" s="364">
        <f t="shared" si="112"/>
        <v>1.0089487715744905</v>
      </c>
      <c r="F277" s="365">
        <f t="shared" si="113"/>
        <v>0.13328573421971515</v>
      </c>
      <c r="G277" s="364">
        <f t="shared" si="114"/>
        <v>1.1313465413653752</v>
      </c>
      <c r="H277" s="365">
        <f t="shared" si="115"/>
        <v>-0.48665434808956776</v>
      </c>
      <c r="I277" s="363">
        <f t="shared" si="116"/>
        <v>73767.187452635568</v>
      </c>
      <c r="J277" s="366">
        <f t="shared" si="117"/>
        <v>1.5707827706321289</v>
      </c>
      <c r="K277" s="374">
        <f t="shared" si="107"/>
        <v>22.84577689967389</v>
      </c>
      <c r="L277" s="375">
        <f t="shared" si="108"/>
        <v>1.5270105712067532</v>
      </c>
      <c r="M277" s="363">
        <f t="shared" si="118"/>
        <v>1.2259010350799824</v>
      </c>
      <c r="N277" s="366">
        <f t="shared" si="119"/>
        <v>0.61681221729630653</v>
      </c>
      <c r="O277" s="367">
        <f t="shared" si="120"/>
        <v>1.0407292564305368</v>
      </c>
      <c r="P277" s="368">
        <f t="shared" si="121"/>
        <v>0.3439865611003729</v>
      </c>
      <c r="Q277" s="369">
        <f t="shared" si="122"/>
        <v>-9.1596139328458417</v>
      </c>
      <c r="R277" s="370">
        <f t="shared" si="123"/>
        <v>-165.52234160715486</v>
      </c>
      <c r="S277" s="372">
        <f t="shared" si="124"/>
        <v>14.477658392845143</v>
      </c>
      <c r="U277" s="345">
        <f t="shared" si="130"/>
        <v>17783</v>
      </c>
      <c r="V277" s="345">
        <f t="shared" si="131"/>
        <v>316235089</v>
      </c>
      <c r="X277" s="371">
        <f t="shared" si="125"/>
        <v>16.146420219692811</v>
      </c>
      <c r="Y277" s="372">
        <f t="shared" si="126"/>
        <v>-37.848699133512028</v>
      </c>
      <c r="AA277" s="371">
        <f t="shared" si="127"/>
        <v>32.195191115295351</v>
      </c>
      <c r="AB277" s="372">
        <f t="shared" si="128"/>
        <v>-127.67364247364283</v>
      </c>
      <c r="AD277">
        <f t="shared" si="132"/>
        <v>0</v>
      </c>
      <c r="AE277">
        <f t="shared" si="109"/>
        <v>0</v>
      </c>
    </row>
    <row r="278" spans="1:31" x14ac:dyDescent="0.2">
      <c r="A278" s="373">
        <v>17886.5</v>
      </c>
      <c r="B278" s="390">
        <f t="shared" si="129"/>
        <v>17.886500000000002</v>
      </c>
      <c r="C278" s="363">
        <f t="shared" si="110"/>
        <v>25.26176380988408</v>
      </c>
      <c r="D278" s="364">
        <f t="shared" si="111"/>
        <v>1.5312004632307383</v>
      </c>
      <c r="E278" s="364">
        <f t="shared" si="112"/>
        <v>1.0090527727157308</v>
      </c>
      <c r="F278" s="365">
        <f t="shared" si="113"/>
        <v>0.13405224542892105</v>
      </c>
      <c r="G278" s="364">
        <f t="shared" si="114"/>
        <v>1.1327899769740053</v>
      </c>
      <c r="H278" s="365">
        <f t="shared" si="115"/>
        <v>-0.48905720020613241</v>
      </c>
      <c r="I278" s="363">
        <f t="shared" si="116"/>
        <v>74196.524679197391</v>
      </c>
      <c r="J278" s="366">
        <f t="shared" si="117"/>
        <v>1.5707828490746887</v>
      </c>
      <c r="K278" s="374">
        <f t="shared" si="107"/>
        <v>22.97848907500174</v>
      </c>
      <c r="L278" s="375">
        <f t="shared" si="108"/>
        <v>1.5272636160032353</v>
      </c>
      <c r="M278" s="363">
        <f t="shared" si="118"/>
        <v>1.2282929322364144</v>
      </c>
      <c r="N278" s="366">
        <f t="shared" si="119"/>
        <v>0.61955310054496915</v>
      </c>
      <c r="O278" s="367">
        <f t="shared" si="120"/>
        <v>1.0411976528901419</v>
      </c>
      <c r="P278" s="368">
        <f t="shared" si="121"/>
        <v>0.34591008307110838</v>
      </c>
      <c r="Q278" s="369">
        <f t="shared" si="122"/>
        <v>-9.2189062692758537</v>
      </c>
      <c r="R278" s="370">
        <f t="shared" si="123"/>
        <v>-165.88204401521838</v>
      </c>
      <c r="S278" s="372">
        <f t="shared" si="124"/>
        <v>14.117955984781617</v>
      </c>
      <c r="U278" s="345">
        <f t="shared" si="130"/>
        <v>17886.5</v>
      </c>
      <c r="V278" s="345">
        <f t="shared" si="131"/>
        <v>319926882.25</v>
      </c>
      <c r="X278" s="371">
        <f t="shared" si="125"/>
        <v>16.12939337665042</v>
      </c>
      <c r="Y278" s="372">
        <f t="shared" si="126"/>
        <v>-37.991246271522826</v>
      </c>
      <c r="AA278" s="371">
        <f t="shared" si="127"/>
        <v>32.152925621907727</v>
      </c>
      <c r="AB278" s="372">
        <f t="shared" si="128"/>
        <v>-127.89079774369552</v>
      </c>
      <c r="AD278">
        <f t="shared" si="132"/>
        <v>0</v>
      </c>
      <c r="AE278">
        <f t="shared" si="109"/>
        <v>0</v>
      </c>
    </row>
    <row r="279" spans="1:31" x14ac:dyDescent="0.2">
      <c r="A279" s="373">
        <v>17990</v>
      </c>
      <c r="B279" s="390">
        <f t="shared" si="129"/>
        <v>17.989999999999998</v>
      </c>
      <c r="C279" s="363">
        <f t="shared" si="110"/>
        <v>25.407712274960279</v>
      </c>
      <c r="D279" s="364">
        <f t="shared" si="111"/>
        <v>1.5314280300212608</v>
      </c>
      <c r="E279" s="364">
        <f t="shared" si="112"/>
        <v>1.0091573665928659</v>
      </c>
      <c r="F279" s="365">
        <f t="shared" si="113"/>
        <v>0.13481859819856504</v>
      </c>
      <c r="G279" s="364">
        <f t="shared" si="114"/>
        <v>1.1342399363015814</v>
      </c>
      <c r="H279" s="365">
        <f t="shared" si="115"/>
        <v>-0.49145392274353727</v>
      </c>
      <c r="I279" s="363">
        <f t="shared" si="116"/>
        <v>74625.861905759652</v>
      </c>
      <c r="J279" s="366">
        <f t="shared" si="117"/>
        <v>1.5707829266146576</v>
      </c>
      <c r="K279" s="374">
        <f t="shared" ref="K279:K342" si="133">SQRT(1+(A279/Zero2)^2)</f>
        <v>23.111202704782571</v>
      </c>
      <c r="L279" s="375">
        <f t="shared" ref="L279:L342" si="134">ATAN(A279/Zero2)</f>
        <v>1.5275137546497823</v>
      </c>
      <c r="M279" s="363">
        <f t="shared" si="118"/>
        <v>1.2306940209628057</v>
      </c>
      <c r="N279" s="366">
        <f t="shared" si="119"/>
        <v>0.62228330929030384</v>
      </c>
      <c r="O279" s="367">
        <f t="shared" si="120"/>
        <v>1.041668609188354</v>
      </c>
      <c r="P279" s="368">
        <f t="shared" si="121"/>
        <v>0.34783231675456394</v>
      </c>
      <c r="Q279" s="369">
        <f t="shared" si="122"/>
        <v>-9.277918139377002</v>
      </c>
      <c r="R279" s="370">
        <f t="shared" si="123"/>
        <v>-166.24073380859085</v>
      </c>
      <c r="S279" s="372">
        <f t="shared" si="124"/>
        <v>13.759266191409154</v>
      </c>
      <c r="U279" s="345">
        <f t="shared" si="130"/>
        <v>17990</v>
      </c>
      <c r="V279" s="345">
        <f t="shared" si="131"/>
        <v>323640100</v>
      </c>
      <c r="X279" s="371">
        <f t="shared" si="125"/>
        <v>16.112336250227706</v>
      </c>
      <c r="Y279" s="372">
        <f t="shared" si="126"/>
        <v>-38.133348263955291</v>
      </c>
      <c r="AA279" s="371">
        <f t="shared" si="127"/>
        <v>32.110970878229296</v>
      </c>
      <c r="AB279" s="372">
        <f t="shared" si="128"/>
        <v>-128.1073855446356</v>
      </c>
      <c r="AD279">
        <f t="shared" si="132"/>
        <v>0</v>
      </c>
      <c r="AE279">
        <f t="shared" si="109"/>
        <v>0</v>
      </c>
    </row>
    <row r="280" spans="1:31" x14ac:dyDescent="0.2">
      <c r="A280" s="373">
        <v>18093.5</v>
      </c>
      <c r="B280" s="390">
        <f t="shared" si="129"/>
        <v>18.093499999999999</v>
      </c>
      <c r="C280" s="363">
        <f t="shared" si="110"/>
        <v>25.553662040786566</v>
      </c>
      <c r="D280" s="364">
        <f t="shared" si="111"/>
        <v>1.5316529973274282</v>
      </c>
      <c r="E280" s="364">
        <f t="shared" si="112"/>
        <v>1.0092625530216133</v>
      </c>
      <c r="F280" s="365">
        <f t="shared" si="113"/>
        <v>0.13558479167789411</v>
      </c>
      <c r="G280" s="364">
        <f t="shared" si="114"/>
        <v>1.1356963943613365</v>
      </c>
      <c r="H280" s="365">
        <f t="shared" si="115"/>
        <v>-0.49384451169684629</v>
      </c>
      <c r="I280" s="363">
        <f t="shared" si="116"/>
        <v>75055.199132322363</v>
      </c>
      <c r="J280" s="366">
        <f t="shared" si="117"/>
        <v>1.570783003267525</v>
      </c>
      <c r="K280" s="374">
        <f t="shared" si="133"/>
        <v>23.243917764103319</v>
      </c>
      <c r="L280" s="375">
        <f t="shared" si="134"/>
        <v>1.5277610368942769</v>
      </c>
      <c r="M280" s="363">
        <f t="shared" si="118"/>
        <v>1.2331042475659475</v>
      </c>
      <c r="N280" s="366">
        <f t="shared" si="119"/>
        <v>0.62500286530480664</v>
      </c>
      <c r="O280" s="367">
        <f t="shared" si="120"/>
        <v>1.0421421227927363</v>
      </c>
      <c r="P280" s="368">
        <f t="shared" si="121"/>
        <v>0.34975325683721314</v>
      </c>
      <c r="Q280" s="369">
        <f t="shared" si="122"/>
        <v>-9.3366525585570326</v>
      </c>
      <c r="R280" s="370">
        <f t="shared" si="123"/>
        <v>-166.59841149523209</v>
      </c>
      <c r="S280" s="372">
        <f t="shared" si="124"/>
        <v>13.401588504767915</v>
      </c>
      <c r="U280" s="345">
        <f t="shared" si="130"/>
        <v>18093.5</v>
      </c>
      <c r="V280" s="345">
        <f t="shared" si="131"/>
        <v>327374742.25</v>
      </c>
      <c r="X280" s="371">
        <f t="shared" si="125"/>
        <v>16.095249432086504</v>
      </c>
      <c r="Y280" s="372">
        <f t="shared" si="126"/>
        <v>-38.275003508825328</v>
      </c>
      <c r="AA280" s="371">
        <f t="shared" si="127"/>
        <v>32.069323277190463</v>
      </c>
      <c r="AB280" s="372">
        <f t="shared" si="128"/>
        <v>-128.32340798640678</v>
      </c>
      <c r="AD280">
        <f t="shared" si="132"/>
        <v>0</v>
      </c>
      <c r="AE280">
        <f t="shared" si="109"/>
        <v>0</v>
      </c>
    </row>
    <row r="281" spans="1:31" x14ac:dyDescent="0.2">
      <c r="A281" s="373">
        <v>18197</v>
      </c>
      <c r="B281" s="390">
        <f t="shared" si="129"/>
        <v>18.196999999999999</v>
      </c>
      <c r="C281" s="363">
        <f t="shared" si="110"/>
        <v>25.699613085201815</v>
      </c>
      <c r="D281" s="364">
        <f t="shared" si="111"/>
        <v>1.5318754094145803</v>
      </c>
      <c r="E281" s="364">
        <f t="shared" si="112"/>
        <v>1.0093683318167228</v>
      </c>
      <c r="F281" s="365">
        <f t="shared" si="113"/>
        <v>0.13635082501725701</v>
      </c>
      <c r="G281" s="364">
        <f t="shared" si="114"/>
        <v>1.1371593261828099</v>
      </c>
      <c r="H281" s="365">
        <f t="shared" si="115"/>
        <v>-0.49622896336201672</v>
      </c>
      <c r="I281" s="363">
        <f t="shared" si="116"/>
        <v>75484.536358885511</v>
      </c>
      <c r="J281" s="366">
        <f t="shared" si="117"/>
        <v>1.5707830790484274</v>
      </c>
      <c r="K281" s="374">
        <f t="shared" si="133"/>
        <v>23.376634228616414</v>
      </c>
      <c r="L281" s="375">
        <f t="shared" si="134"/>
        <v>1.5280055113562805</v>
      </c>
      <c r="M281" s="363">
        <f t="shared" si="118"/>
        <v>1.235523558568058</v>
      </c>
      <c r="N281" s="366">
        <f t="shared" si="119"/>
        <v>0.62771179082170281</v>
      </c>
      <c r="O281" s="367">
        <f t="shared" si="120"/>
        <v>1.0426181911620325</v>
      </c>
      <c r="P281" s="368">
        <f t="shared" si="121"/>
        <v>0.3516728980371176</v>
      </c>
      <c r="Q281" s="369">
        <f t="shared" si="122"/>
        <v>-9.3951124889604074</v>
      </c>
      <c r="R281" s="370">
        <f t="shared" si="123"/>
        <v>-166.9550776342233</v>
      </c>
      <c r="S281" s="372">
        <f t="shared" si="124"/>
        <v>13.044922365776699</v>
      </c>
      <c r="U281" s="345">
        <f t="shared" si="130"/>
        <v>18197</v>
      </c>
      <c r="V281" s="345">
        <f t="shared" si="131"/>
        <v>331130809</v>
      </c>
      <c r="X281" s="371">
        <f t="shared" si="125"/>
        <v>16.078133509715851</v>
      </c>
      <c r="Y281" s="372">
        <f t="shared" si="126"/>
        <v>-38.416210495174461</v>
      </c>
      <c r="AA281" s="371">
        <f t="shared" si="127"/>
        <v>32.02797926915774</v>
      </c>
      <c r="AB281" s="372">
        <f t="shared" si="128"/>
        <v>-128.53886713904882</v>
      </c>
      <c r="AD281">
        <f t="shared" si="132"/>
        <v>0</v>
      </c>
      <c r="AE281">
        <f t="shared" si="109"/>
        <v>0</v>
      </c>
    </row>
    <row r="282" spans="1:31" x14ac:dyDescent="0.2">
      <c r="A282" s="373">
        <v>18303</v>
      </c>
      <c r="B282" s="390">
        <f t="shared" si="129"/>
        <v>18.303000000000001</v>
      </c>
      <c r="C282" s="363">
        <f t="shared" si="110"/>
        <v>25.849090819821399</v>
      </c>
      <c r="D282" s="364">
        <f t="shared" si="111"/>
        <v>1.5321005904311968</v>
      </c>
      <c r="E282" s="364">
        <f t="shared" si="112"/>
        <v>1.0094772794623341</v>
      </c>
      <c r="F282" s="365">
        <f t="shared" si="113"/>
        <v>0.13713519470191141</v>
      </c>
      <c r="G282" s="364">
        <f t="shared" si="114"/>
        <v>1.1386642786562196</v>
      </c>
      <c r="H282" s="365">
        <f t="shared" si="115"/>
        <v>-0.49866464547715361</v>
      </c>
      <c r="I282" s="363">
        <f t="shared" si="116"/>
        <v>75924.24404985884</v>
      </c>
      <c r="J282" s="366">
        <f t="shared" si="117"/>
        <v>1.5707831557714305</v>
      </c>
      <c r="K282" s="374">
        <f t="shared" si="133"/>
        <v>23.512557836485307</v>
      </c>
      <c r="L282" s="375">
        <f t="shared" si="134"/>
        <v>1.5282530303142805</v>
      </c>
      <c r="M282" s="363">
        <f t="shared" si="118"/>
        <v>1.2380106675790721</v>
      </c>
      <c r="N282" s="366">
        <f t="shared" si="119"/>
        <v>0.63047515426481049</v>
      </c>
      <c r="O282" s="367">
        <f t="shared" si="120"/>
        <v>1.0431084041769787</v>
      </c>
      <c r="P282" s="368">
        <f t="shared" si="121"/>
        <v>0.35363755557363513</v>
      </c>
      <c r="Q282" s="369">
        <f t="shared" si="122"/>
        <v>-9.4547030213035299</v>
      </c>
      <c r="R282" s="370">
        <f t="shared" si="123"/>
        <v>-167.3193110412854</v>
      </c>
      <c r="S282" s="372">
        <f t="shared" si="124"/>
        <v>12.680688958714597</v>
      </c>
      <c r="U282" s="345">
        <f t="shared" si="130"/>
        <v>18303</v>
      </c>
      <c r="V282" s="345">
        <f t="shared" si="131"/>
        <v>334999809</v>
      </c>
      <c r="X282" s="371">
        <f t="shared" si="125"/>
        <v>16.060574601470478</v>
      </c>
      <c r="Y282" s="372">
        <f t="shared" si="126"/>
        <v>-38.560362162151371</v>
      </c>
      <c r="AA282" s="371">
        <f t="shared" si="127"/>
        <v>31.985947645059994</v>
      </c>
      <c r="AB282" s="372">
        <f t="shared" si="128"/>
        <v>-128.75894887913407</v>
      </c>
      <c r="AD282">
        <f t="shared" si="132"/>
        <v>0</v>
      </c>
      <c r="AE282">
        <f t="shared" ref="AE282:AE345" si="135">IF(AD282&gt;0,S282,0)</f>
        <v>0</v>
      </c>
    </row>
    <row r="283" spans="1:31" x14ac:dyDescent="0.2">
      <c r="A283" s="373">
        <v>18409</v>
      </c>
      <c r="B283" s="390">
        <f t="shared" si="129"/>
        <v>18.408999999999999</v>
      </c>
      <c r="C283" s="363">
        <f t="shared" si="110"/>
        <v>25.99856985008579</v>
      </c>
      <c r="D283" s="364">
        <f t="shared" si="111"/>
        <v>1.5323231820981011</v>
      </c>
      <c r="E283" s="364">
        <f t="shared" si="112"/>
        <v>1.0095868480402439</v>
      </c>
      <c r="F283" s="365">
        <f t="shared" si="113"/>
        <v>0.13791939461658828</v>
      </c>
      <c r="G283" s="364">
        <f t="shared" si="114"/>
        <v>1.1401759684533257</v>
      </c>
      <c r="H283" s="365">
        <f t="shared" si="115"/>
        <v>-0.50109388332728078</v>
      </c>
      <c r="I283" s="363">
        <f t="shared" si="116"/>
        <v>76363.951740832606</v>
      </c>
      <c r="J283" s="366">
        <f t="shared" si="117"/>
        <v>1.5707832316108834</v>
      </c>
      <c r="K283" s="374">
        <f t="shared" si="133"/>
        <v>23.648482868306758</v>
      </c>
      <c r="L283" s="375">
        <f t="shared" si="134"/>
        <v>1.5284977039441572</v>
      </c>
      <c r="M283" s="363">
        <f t="shared" si="118"/>
        <v>1.2405071923097319</v>
      </c>
      <c r="N283" s="366">
        <f t="shared" si="119"/>
        <v>0.63322741609865385</v>
      </c>
      <c r="O283" s="367">
        <f t="shared" si="120"/>
        <v>1.0436012914426067</v>
      </c>
      <c r="P283" s="368">
        <f t="shared" si="121"/>
        <v>0.35560083960915523</v>
      </c>
      <c r="Q283" s="369">
        <f t="shared" si="122"/>
        <v>-9.5140117676782072</v>
      </c>
      <c r="R283" s="370">
        <f t="shared" si="123"/>
        <v>-167.68248479095445</v>
      </c>
      <c r="S283" s="372">
        <f t="shared" si="124"/>
        <v>12.317515209045553</v>
      </c>
      <c r="U283" s="345">
        <f t="shared" si="130"/>
        <v>18409</v>
      </c>
      <c r="V283" s="345">
        <f t="shared" si="131"/>
        <v>338891281</v>
      </c>
      <c r="X283" s="371">
        <f t="shared" si="125"/>
        <v>16.042986399748681</v>
      </c>
      <c r="Y283" s="372">
        <f t="shared" si="126"/>
        <v>-38.704040728440212</v>
      </c>
      <c r="AA283" s="371">
        <f t="shared" si="127"/>
        <v>31.944227100407115</v>
      </c>
      <c r="AB283" s="372">
        <f t="shared" si="128"/>
        <v>-128.97844406251417</v>
      </c>
      <c r="AD283">
        <f t="shared" si="132"/>
        <v>0</v>
      </c>
      <c r="AE283">
        <f t="shared" si="135"/>
        <v>0</v>
      </c>
    </row>
    <row r="284" spans="1:31" x14ac:dyDescent="0.2">
      <c r="A284" s="373">
        <v>18515</v>
      </c>
      <c r="B284" s="390">
        <f t="shared" si="129"/>
        <v>18.515000000000001</v>
      </c>
      <c r="C284" s="363">
        <f t="shared" si="110"/>
        <v>26.148050153774779</v>
      </c>
      <c r="D284" s="364">
        <f t="shared" si="111"/>
        <v>1.5325432288005751</v>
      </c>
      <c r="E284" s="364">
        <f t="shared" si="112"/>
        <v>1.0096970373483085</v>
      </c>
      <c r="F284" s="365">
        <f t="shared" si="113"/>
        <v>0.13870342385219572</v>
      </c>
      <c r="G284" s="364">
        <f t="shared" si="114"/>
        <v>1.1416943688119481</v>
      </c>
      <c r="H284" s="365">
        <f t="shared" si="115"/>
        <v>-0.50351667389666599</v>
      </c>
      <c r="I284" s="363">
        <f t="shared" si="116"/>
        <v>76803.659431806809</v>
      </c>
      <c r="J284" s="366">
        <f t="shared" si="117"/>
        <v>1.5707833065819612</v>
      </c>
      <c r="K284" s="374">
        <f t="shared" si="133"/>
        <v>23.784409299667619</v>
      </c>
      <c r="L284" s="375">
        <f t="shared" si="134"/>
        <v>1.5287395809989854</v>
      </c>
      <c r="M284" s="363">
        <f t="shared" si="118"/>
        <v>1.2430130760271429</v>
      </c>
      <c r="N284" s="366">
        <f t="shared" si="119"/>
        <v>0.63596860164322166</v>
      </c>
      <c r="O284" s="367">
        <f t="shared" si="120"/>
        <v>1.044096850200803</v>
      </c>
      <c r="P284" s="368">
        <f t="shared" si="121"/>
        <v>0.35756274457297299</v>
      </c>
      <c r="Q284" s="369">
        <f t="shared" si="122"/>
        <v>-9.5730417446877887</v>
      </c>
      <c r="R284" s="370">
        <f t="shared" si="123"/>
        <v>-168.04459964469254</v>
      </c>
      <c r="S284" s="372">
        <f t="shared" si="124"/>
        <v>11.955400355307461</v>
      </c>
      <c r="U284" s="345">
        <f t="shared" si="130"/>
        <v>18515</v>
      </c>
      <c r="V284" s="345">
        <f t="shared" si="131"/>
        <v>342805225</v>
      </c>
      <c r="X284" s="371">
        <f t="shared" si="125"/>
        <v>16.025369521798996</v>
      </c>
      <c r="Y284" s="372">
        <f t="shared" si="126"/>
        <v>-38.847244852293471</v>
      </c>
      <c r="AA284" s="371">
        <f t="shared" si="127"/>
        <v>31.902814001347217</v>
      </c>
      <c r="AB284" s="372">
        <f t="shared" si="128"/>
        <v>-129.1973547923991</v>
      </c>
      <c r="AD284">
        <f t="shared" si="132"/>
        <v>0</v>
      </c>
      <c r="AE284">
        <f t="shared" si="135"/>
        <v>0</v>
      </c>
    </row>
    <row r="285" spans="1:31" x14ac:dyDescent="0.2">
      <c r="A285" s="373">
        <v>18621</v>
      </c>
      <c r="B285" s="390">
        <f t="shared" si="129"/>
        <v>18.620999999999999</v>
      </c>
      <c r="C285" s="363">
        <f t="shared" si="110"/>
        <v>26.297531709173185</v>
      </c>
      <c r="D285" s="364">
        <f t="shared" si="111"/>
        <v>1.5327607739157127</v>
      </c>
      <c r="E285" s="364">
        <f t="shared" si="112"/>
        <v>1.0098078471833272</v>
      </c>
      <c r="F285" s="365">
        <f t="shared" si="113"/>
        <v>0.1394872815008768</v>
      </c>
      <c r="G285" s="364">
        <f t="shared" si="114"/>
        <v>1.1432194529936015</v>
      </c>
      <c r="H285" s="365">
        <f t="shared" si="115"/>
        <v>-0.50593301448832106</v>
      </c>
      <c r="I285" s="363">
        <f t="shared" si="116"/>
        <v>77243.367122781463</v>
      </c>
      <c r="J285" s="366">
        <f t="shared" si="117"/>
        <v>1.5707833806994935</v>
      </c>
      <c r="K285" s="374">
        <f t="shared" si="133"/>
        <v>23.920337106709397</v>
      </c>
      <c r="L285" s="375">
        <f t="shared" si="134"/>
        <v>1.5289787091250049</v>
      </c>
      <c r="M285" s="363">
        <f t="shared" si="118"/>
        <v>1.2455282622431483</v>
      </c>
      <c r="N285" s="366">
        <f t="shared" si="119"/>
        <v>0.63869873668094612</v>
      </c>
      <c r="O285" s="367">
        <f t="shared" si="120"/>
        <v>1.0445950776841184</v>
      </c>
      <c r="P285" s="368">
        <f t="shared" si="121"/>
        <v>0.35952326492931591</v>
      </c>
      <c r="Q285" s="369">
        <f t="shared" si="122"/>
        <v>-9.6317959158161219</v>
      </c>
      <c r="R285" s="370">
        <f t="shared" si="123"/>
        <v>-168.40565641628407</v>
      </c>
      <c r="S285" s="372">
        <f t="shared" si="124"/>
        <v>11.594343583715926</v>
      </c>
      <c r="U285" s="345">
        <f t="shared" si="130"/>
        <v>18621</v>
      </c>
      <c r="V285" s="345">
        <f t="shared" si="131"/>
        <v>346741641</v>
      </c>
      <c r="X285" s="371">
        <f t="shared" si="125"/>
        <v>16.007724580127242</v>
      </c>
      <c r="Y285" s="372">
        <f t="shared" si="126"/>
        <v>-38.989973281856969</v>
      </c>
      <c r="AA285" s="371">
        <f t="shared" si="127"/>
        <v>31.86170477189064</v>
      </c>
      <c r="AB285" s="372">
        <f t="shared" si="128"/>
        <v>-129.41568313442707</v>
      </c>
      <c r="AD285">
        <f t="shared" si="132"/>
        <v>0</v>
      </c>
      <c r="AE285">
        <f t="shared" si="135"/>
        <v>0</v>
      </c>
    </row>
    <row r="286" spans="1:31" x14ac:dyDescent="0.2">
      <c r="A286" s="373">
        <v>18729.5</v>
      </c>
      <c r="B286" s="390">
        <f t="shared" si="129"/>
        <v>18.729500000000002</v>
      </c>
      <c r="C286" s="363">
        <f t="shared" si="110"/>
        <v>26.450540047142304</v>
      </c>
      <c r="D286" s="364">
        <f t="shared" si="111"/>
        <v>1.5329809032775867</v>
      </c>
      <c r="E286" s="364">
        <f t="shared" si="112"/>
        <v>1.0099219128967856</v>
      </c>
      <c r="F286" s="365">
        <f t="shared" si="113"/>
        <v>0.14028944770699628</v>
      </c>
      <c r="G286" s="364">
        <f t="shared" si="114"/>
        <v>1.1447874003965688</v>
      </c>
      <c r="H286" s="365">
        <f t="shared" si="115"/>
        <v>-0.50839966180633167</v>
      </c>
      <c r="I286" s="363">
        <f t="shared" si="116"/>
        <v>77693.445278166299</v>
      </c>
      <c r="J286" s="366">
        <f t="shared" si="117"/>
        <v>1.5707834556962286</v>
      </c>
      <c r="K286" s="374">
        <f t="shared" si="133"/>
        <v>24.059472158650777</v>
      </c>
      <c r="L286" s="375">
        <f t="shared" si="134"/>
        <v>1.529220678725949</v>
      </c>
      <c r="M286" s="363">
        <f t="shared" si="118"/>
        <v>1.2481123443690778</v>
      </c>
      <c r="N286" s="366">
        <f t="shared" si="119"/>
        <v>0.64148184456359636</v>
      </c>
      <c r="O286" s="367">
        <f t="shared" si="120"/>
        <v>1.0451078167970642</v>
      </c>
      <c r="P286" s="368">
        <f t="shared" si="121"/>
        <v>0.36152858425548118</v>
      </c>
      <c r="Q286" s="369">
        <f t="shared" si="122"/>
        <v>-9.6916531975150857</v>
      </c>
      <c r="R286" s="370">
        <f t="shared" si="123"/>
        <v>-168.77413377254058</v>
      </c>
      <c r="S286" s="372">
        <f t="shared" si="124"/>
        <v>11.22586622745942</v>
      </c>
      <c r="U286" s="345">
        <f t="shared" si="130"/>
        <v>18729.5</v>
      </c>
      <c r="V286" s="345">
        <f t="shared" si="131"/>
        <v>350794170.25</v>
      </c>
      <c r="X286" s="371">
        <f t="shared" si="125"/>
        <v>15.989635054142335</v>
      </c>
      <c r="Y286" s="372">
        <f t="shared" si="126"/>
        <v>-39.135574077720626</v>
      </c>
      <c r="AA286" s="371">
        <f t="shared" si="127"/>
        <v>31.819937016176581</v>
      </c>
      <c r="AB286" s="372">
        <f t="shared" si="128"/>
        <v>-129.63855969481992</v>
      </c>
      <c r="AD286">
        <f t="shared" si="132"/>
        <v>0</v>
      </c>
      <c r="AE286">
        <f t="shared" si="135"/>
        <v>0</v>
      </c>
    </row>
    <row r="287" spans="1:31" x14ac:dyDescent="0.2">
      <c r="A287" s="373">
        <v>18838</v>
      </c>
      <c r="B287" s="390">
        <f t="shared" si="129"/>
        <v>18.838000000000001</v>
      </c>
      <c r="C287" s="363">
        <f t="shared" si="110"/>
        <v>26.603549652080172</v>
      </c>
      <c r="D287" s="364">
        <f t="shared" si="111"/>
        <v>1.5331985005136186</v>
      </c>
      <c r="E287" s="364">
        <f t="shared" si="112"/>
        <v>1.0100366283183024</v>
      </c>
      <c r="F287" s="365">
        <f t="shared" si="113"/>
        <v>0.14109143221620565</v>
      </c>
      <c r="G287" s="364">
        <f t="shared" si="114"/>
        <v>1.1463622940072526</v>
      </c>
      <c r="H287" s="365">
        <f t="shared" si="115"/>
        <v>-0.51085954660602151</v>
      </c>
      <c r="I287" s="363">
        <f t="shared" si="116"/>
        <v>78143.523433551571</v>
      </c>
      <c r="J287" s="366">
        <f t="shared" si="117"/>
        <v>1.5707835298290562</v>
      </c>
      <c r="K287" s="374">
        <f t="shared" si="133"/>
        <v>24.198608603058233</v>
      </c>
      <c r="L287" s="375">
        <f t="shared" si="134"/>
        <v>1.5294598658014462</v>
      </c>
      <c r="M287" s="363">
        <f t="shared" si="118"/>
        <v>1.2507060539941148</v>
      </c>
      <c r="N287" s="366">
        <f t="shared" si="119"/>
        <v>0.64425343064224938</v>
      </c>
      <c r="O287" s="367">
        <f t="shared" si="120"/>
        <v>1.0456233461058551</v>
      </c>
      <c r="P287" s="368">
        <f t="shared" si="121"/>
        <v>0.36353244126786111</v>
      </c>
      <c r="Q287" s="369">
        <f t="shared" si="122"/>
        <v>-9.7512276282932415</v>
      </c>
      <c r="R287" s="370">
        <f t="shared" si="123"/>
        <v>-169.14150443769589</v>
      </c>
      <c r="S287" s="372">
        <f t="shared" si="124"/>
        <v>10.858495562304114</v>
      </c>
      <c r="U287" s="345">
        <f t="shared" si="130"/>
        <v>18838</v>
      </c>
      <c r="V287" s="345">
        <f t="shared" si="131"/>
        <v>354870244</v>
      </c>
      <c r="X287" s="371">
        <f t="shared" si="125"/>
        <v>15.97151740832228</v>
      </c>
      <c r="Y287" s="372">
        <f t="shared" si="126"/>
        <v>-39.280674100308538</v>
      </c>
      <c r="AA287" s="371">
        <f t="shared" si="127"/>
        <v>31.778480231218481</v>
      </c>
      <c r="AB287" s="372">
        <f t="shared" si="128"/>
        <v>-129.86083033738737</v>
      </c>
      <c r="AD287">
        <f t="shared" si="132"/>
        <v>0</v>
      </c>
      <c r="AE287">
        <f t="shared" si="135"/>
        <v>0</v>
      </c>
    </row>
    <row r="288" spans="1:31" x14ac:dyDescent="0.2">
      <c r="A288" s="373">
        <v>18946.5</v>
      </c>
      <c r="B288" s="390">
        <f t="shared" si="129"/>
        <v>18.9465</v>
      </c>
      <c r="C288" s="363">
        <f t="shared" si="110"/>
        <v>26.756560502250984</v>
      </c>
      <c r="D288" s="364">
        <f t="shared" si="111"/>
        <v>1.5334136090438906</v>
      </c>
      <c r="E288" s="364">
        <f t="shared" si="112"/>
        <v>1.0101519932265304</v>
      </c>
      <c r="F288" s="365">
        <f t="shared" si="113"/>
        <v>0.14189323405894391</v>
      </c>
      <c r="G288" s="364">
        <f t="shared" si="114"/>
        <v>1.1479441052366184</v>
      </c>
      <c r="H288" s="365">
        <f t="shared" si="115"/>
        <v>-0.51331266701203104</v>
      </c>
      <c r="I288" s="363">
        <f t="shared" si="116"/>
        <v>78593.601588937265</v>
      </c>
      <c r="J288" s="366">
        <f t="shared" si="117"/>
        <v>1.5707836031128179</v>
      </c>
      <c r="K288" s="374">
        <f t="shared" si="133"/>
        <v>24.337746416049992</v>
      </c>
      <c r="L288" s="375">
        <f t="shared" si="134"/>
        <v>1.5296963180466134</v>
      </c>
      <c r="M288" s="363">
        <f t="shared" si="118"/>
        <v>1.2533093313462564</v>
      </c>
      <c r="N288" s="366">
        <f t="shared" si="119"/>
        <v>0.64701352400074963</v>
      </c>
      <c r="O288" s="367">
        <f t="shared" si="120"/>
        <v>1.0461416626127944</v>
      </c>
      <c r="P288" s="368">
        <f t="shared" si="121"/>
        <v>0.36553483014366317</v>
      </c>
      <c r="Q288" s="369">
        <f t="shared" si="122"/>
        <v>-9.8105222216697427</v>
      </c>
      <c r="R288" s="370">
        <f t="shared" si="123"/>
        <v>-169.50776944852066</v>
      </c>
      <c r="S288" s="372">
        <f t="shared" si="124"/>
        <v>10.492230551479338</v>
      </c>
      <c r="U288" s="345">
        <f t="shared" si="130"/>
        <v>18946.5</v>
      </c>
      <c r="V288" s="345">
        <f t="shared" si="131"/>
        <v>358969862.25</v>
      </c>
      <c r="X288" s="371">
        <f t="shared" si="125"/>
        <v>15.953372283906555</v>
      </c>
      <c r="Y288" s="372">
        <f t="shared" si="126"/>
        <v>-39.425272284123707</v>
      </c>
      <c r="AA288" s="371">
        <f t="shared" si="127"/>
        <v>31.737330762257699</v>
      </c>
      <c r="AB288" s="372">
        <f t="shared" si="128"/>
        <v>-130.08249716439695</v>
      </c>
      <c r="AD288">
        <f t="shared" si="132"/>
        <v>0</v>
      </c>
      <c r="AE288">
        <f t="shared" si="135"/>
        <v>0</v>
      </c>
    </row>
    <row r="289" spans="1:31" x14ac:dyDescent="0.2">
      <c r="A289" s="373">
        <v>19055</v>
      </c>
      <c r="B289" s="390">
        <f t="shared" si="129"/>
        <v>19.055</v>
      </c>
      <c r="C289" s="363">
        <f t="shared" si="110"/>
        <v>26.909572576413144</v>
      </c>
      <c r="D289" s="364">
        <f t="shared" si="111"/>
        <v>1.5336262713018447</v>
      </c>
      <c r="E289" s="364">
        <f t="shared" si="112"/>
        <v>1.0102680073989703</v>
      </c>
      <c r="F289" s="365">
        <f t="shared" si="113"/>
        <v>0.14269485226703116</v>
      </c>
      <c r="G289" s="364">
        <f t="shared" si="114"/>
        <v>1.1495328055277598</v>
      </c>
      <c r="H289" s="365">
        <f t="shared" si="115"/>
        <v>-0.51575902148495179</v>
      </c>
      <c r="I289" s="363">
        <f t="shared" si="116"/>
        <v>79043.679744323395</v>
      </c>
      <c r="J289" s="366">
        <f t="shared" si="117"/>
        <v>1.5707836755620179</v>
      </c>
      <c r="K289" s="374">
        <f t="shared" si="133"/>
        <v>24.476885574287088</v>
      </c>
      <c r="L289" s="375">
        <f t="shared" si="134"/>
        <v>1.529930082073313</v>
      </c>
      <c r="M289" s="363">
        <f t="shared" si="118"/>
        <v>1.2559221169295041</v>
      </c>
      <c r="N289" s="366">
        <f t="shared" si="119"/>
        <v>0.64976215418266992</v>
      </c>
      <c r="O289" s="367">
        <f t="shared" si="120"/>
        <v>1.04666276331035</v>
      </c>
      <c r="P289" s="368">
        <f t="shared" si="121"/>
        <v>0.36753574509860915</v>
      </c>
      <c r="Q289" s="369">
        <f t="shared" si="122"/>
        <v>-9.8695399383166631</v>
      </c>
      <c r="R289" s="370">
        <f t="shared" si="123"/>
        <v>-169.8729298950183</v>
      </c>
      <c r="S289" s="372">
        <f t="shared" si="124"/>
        <v>10.127070104981698</v>
      </c>
      <c r="U289" s="345">
        <f t="shared" si="130"/>
        <v>19055</v>
      </c>
      <c r="V289" s="345">
        <f t="shared" si="131"/>
        <v>363093025</v>
      </c>
      <c r="X289" s="371">
        <f t="shared" si="125"/>
        <v>15.935200316805808</v>
      </c>
      <c r="Y289" s="372">
        <f t="shared" si="126"/>
        <v>-39.569367652056165</v>
      </c>
      <c r="AA289" s="371">
        <f t="shared" si="127"/>
        <v>31.696485012711531</v>
      </c>
      <c r="AB289" s="372">
        <f t="shared" si="128"/>
        <v>-130.30356224296213</v>
      </c>
      <c r="AD289">
        <f t="shared" si="132"/>
        <v>0</v>
      </c>
      <c r="AE289">
        <f t="shared" si="135"/>
        <v>0</v>
      </c>
    </row>
    <row r="290" spans="1:31" x14ac:dyDescent="0.2">
      <c r="A290" s="373">
        <v>19165.75</v>
      </c>
      <c r="B290" s="390">
        <f t="shared" si="129"/>
        <v>19.165749999999999</v>
      </c>
      <c r="C290" s="363">
        <f t="shared" si="110"/>
        <v>27.065758952791935</v>
      </c>
      <c r="D290" s="364">
        <f t="shared" si="111"/>
        <v>1.5338408637788961</v>
      </c>
      <c r="E290" s="364">
        <f t="shared" si="112"/>
        <v>1.0103870967628301</v>
      </c>
      <c r="F290" s="365">
        <f t="shared" si="113"/>
        <v>0.14351290350394835</v>
      </c>
      <c r="G290" s="364">
        <f t="shared" si="114"/>
        <v>1.1511615264309696</v>
      </c>
      <c r="H290" s="365">
        <f t="shared" si="115"/>
        <v>-0.51824912771042564</v>
      </c>
      <c r="I290" s="363">
        <f t="shared" si="116"/>
        <v>79503.091317678773</v>
      </c>
      <c r="J290" s="366">
        <f t="shared" si="117"/>
        <v>1.5707837486676384</v>
      </c>
      <c r="K290" s="374">
        <f t="shared" si="133"/>
        <v>24.618911470467264</v>
      </c>
      <c r="L290" s="375">
        <f t="shared" si="134"/>
        <v>1.5301659686303166</v>
      </c>
      <c r="M290" s="363">
        <f t="shared" si="118"/>
        <v>1.2585988292469859</v>
      </c>
      <c r="N290" s="366">
        <f t="shared" si="119"/>
        <v>0.65255599254020813</v>
      </c>
      <c r="O290" s="367">
        <f t="shared" si="120"/>
        <v>1.0471975385045156</v>
      </c>
      <c r="P290" s="368">
        <f t="shared" si="121"/>
        <v>0.36957662762966592</v>
      </c>
      <c r="Q290" s="369">
        <f t="shared" si="122"/>
        <v>-9.9294989965648721</v>
      </c>
      <c r="R290" s="370">
        <f t="shared" si="123"/>
        <v>-170.24452481917487</v>
      </c>
      <c r="S290" s="372">
        <f t="shared" si="124"/>
        <v>9.7554751808251297</v>
      </c>
      <c r="U290" s="345">
        <f t="shared" si="130"/>
        <v>19165.75</v>
      </c>
      <c r="V290" s="345">
        <f t="shared" si="131"/>
        <v>367325973.0625</v>
      </c>
      <c r="X290" s="371">
        <f t="shared" si="125"/>
        <v>15.916624483026318</v>
      </c>
      <c r="Y290" s="372">
        <f t="shared" si="126"/>
        <v>-39.715931683235681</v>
      </c>
      <c r="AA290" s="371">
        <f t="shared" si="127"/>
        <v>31.65510178824281</v>
      </c>
      <c r="AB290" s="372">
        <f t="shared" si="128"/>
        <v>-130.52859313593919</v>
      </c>
      <c r="AD290">
        <f t="shared" si="132"/>
        <v>0</v>
      </c>
      <c r="AE290">
        <f t="shared" si="135"/>
        <v>0</v>
      </c>
    </row>
    <row r="291" spans="1:31" x14ac:dyDescent="0.2">
      <c r="A291" s="373">
        <v>19276.5</v>
      </c>
      <c r="B291" s="390">
        <f t="shared" si="129"/>
        <v>19.276499999999999</v>
      </c>
      <c r="C291" s="363">
        <f t="shared" si="110"/>
        <v>27.221946561244824</v>
      </c>
      <c r="D291" s="364">
        <f t="shared" si="111"/>
        <v>1.5340529937903031</v>
      </c>
      <c r="E291" s="364">
        <f t="shared" si="112"/>
        <v>1.0105068621260065</v>
      </c>
      <c r="F291" s="365">
        <f t="shared" si="113"/>
        <v>0.14433076137706391</v>
      </c>
      <c r="G291" s="364">
        <f t="shared" si="114"/>
        <v>1.152797365064437</v>
      </c>
      <c r="H291" s="365">
        <f t="shared" si="115"/>
        <v>-0.52073218229178342</v>
      </c>
      <c r="I291" s="363">
        <f t="shared" si="116"/>
        <v>79962.502891034572</v>
      </c>
      <c r="J291" s="366">
        <f t="shared" si="117"/>
        <v>1.5707838209332257</v>
      </c>
      <c r="K291" s="374">
        <f t="shared" si="133"/>
        <v>24.760938720789703</v>
      </c>
      <c r="L291" s="375">
        <f t="shared" si="134"/>
        <v>1.5303991491380582</v>
      </c>
      <c r="M291" s="363">
        <f t="shared" si="118"/>
        <v>1.2612853238569217</v>
      </c>
      <c r="N291" s="366">
        <f t="shared" si="119"/>
        <v>0.65533795097518843</v>
      </c>
      <c r="O291" s="367">
        <f t="shared" si="120"/>
        <v>1.0477352081969704</v>
      </c>
      <c r="P291" s="368">
        <f t="shared" si="121"/>
        <v>0.37161596242012701</v>
      </c>
      <c r="Q291" s="369">
        <f t="shared" si="122"/>
        <v>-9.9891756462862418</v>
      </c>
      <c r="R291" s="370">
        <f t="shared" si="123"/>
        <v>-170.61497135256886</v>
      </c>
      <c r="S291" s="372">
        <f t="shared" si="124"/>
        <v>9.3850286474311417</v>
      </c>
      <c r="U291" s="345">
        <f t="shared" si="130"/>
        <v>19276.5</v>
      </c>
      <c r="V291" s="345">
        <f t="shared" si="131"/>
        <v>371583452.25</v>
      </c>
      <c r="X291" s="371">
        <f t="shared" si="125"/>
        <v>15.898022003518619</v>
      </c>
      <c r="Y291" s="372">
        <f t="shared" si="126"/>
        <v>-39.861970042062595</v>
      </c>
      <c r="AA291" s="371">
        <f t="shared" si="127"/>
        <v>31.614027618029144</v>
      </c>
      <c r="AB291" s="372">
        <f t="shared" si="128"/>
        <v>-130.75300131050628</v>
      </c>
      <c r="AD291">
        <f t="shared" si="132"/>
        <v>0</v>
      </c>
      <c r="AE291">
        <f t="shared" si="135"/>
        <v>0</v>
      </c>
    </row>
    <row r="292" spans="1:31" x14ac:dyDescent="0.2">
      <c r="A292" s="373">
        <v>19387.25</v>
      </c>
      <c r="B292" s="390">
        <f t="shared" si="129"/>
        <v>19.387250000000002</v>
      </c>
      <c r="C292" s="363">
        <f t="shared" si="110"/>
        <v>27.378135380685482</v>
      </c>
      <c r="D292" s="364">
        <f t="shared" si="111"/>
        <v>1.5342627034609795</v>
      </c>
      <c r="E292" s="364">
        <f t="shared" si="112"/>
        <v>1.0106273032481699</v>
      </c>
      <c r="F292" s="365">
        <f t="shared" si="113"/>
        <v>0.14514842486120105</v>
      </c>
      <c r="G292" s="364">
        <f t="shared" si="114"/>
        <v>1.1544402911707521</v>
      </c>
      <c r="H292" s="365">
        <f t="shared" si="115"/>
        <v>-0.52320818465179086</v>
      </c>
      <c r="I292" s="363">
        <f t="shared" si="116"/>
        <v>80421.914464390778</v>
      </c>
      <c r="J292" s="366">
        <f t="shared" si="117"/>
        <v>1.5707838923731761</v>
      </c>
      <c r="K292" s="374">
        <f t="shared" si="133"/>
        <v>24.902967302085464</v>
      </c>
      <c r="L292" s="375">
        <f t="shared" si="134"/>
        <v>1.5306296698710258</v>
      </c>
      <c r="M292" s="363">
        <f t="shared" si="118"/>
        <v>1.2639815383848043</v>
      </c>
      <c r="N292" s="366">
        <f t="shared" si="119"/>
        <v>0.6581080623134995</v>
      </c>
      <c r="O292" s="367">
        <f t="shared" si="120"/>
        <v>1.0482757691581408</v>
      </c>
      <c r="P292" s="368">
        <f t="shared" si="121"/>
        <v>0.37365374344273433</v>
      </c>
      <c r="Q292" s="369">
        <f t="shared" si="122"/>
        <v>-10.048572873998276</v>
      </c>
      <c r="R292" s="370">
        <f t="shared" si="123"/>
        <v>-170.98427081938573</v>
      </c>
      <c r="S292" s="372">
        <f t="shared" si="124"/>
        <v>9.0157291806142723</v>
      </c>
      <c r="U292" s="345">
        <f t="shared" si="130"/>
        <v>19387.25</v>
      </c>
      <c r="V292" s="345">
        <f t="shared" si="131"/>
        <v>375865462.5625</v>
      </c>
      <c r="X292" s="371">
        <f t="shared" si="125"/>
        <v>15.879393537257149</v>
      </c>
      <c r="Y292" s="372">
        <f t="shared" si="126"/>
        <v>-40.007481958813763</v>
      </c>
      <c r="AA292" s="371">
        <f t="shared" si="127"/>
        <v>31.57325885657858</v>
      </c>
      <c r="AB292" s="372">
        <f t="shared" si="128"/>
        <v>-130.97678886057193</v>
      </c>
      <c r="AD292">
        <f t="shared" si="132"/>
        <v>0</v>
      </c>
      <c r="AE292">
        <f t="shared" si="135"/>
        <v>0</v>
      </c>
    </row>
    <row r="293" spans="1:31" x14ac:dyDescent="0.2">
      <c r="A293" s="373">
        <v>19498</v>
      </c>
      <c r="B293" s="390">
        <f t="shared" si="129"/>
        <v>19.498000000000001</v>
      </c>
      <c r="C293" s="363">
        <f t="shared" si="110"/>
        <v>27.534325390505884</v>
      </c>
      <c r="D293" s="364">
        <f t="shared" si="111"/>
        <v>1.5344700339608781</v>
      </c>
      <c r="E293" s="364">
        <f t="shared" si="112"/>
        <v>1.0107484198877488</v>
      </c>
      <c r="F293" s="365">
        <f t="shared" si="113"/>
        <v>0.14596589293271015</v>
      </c>
      <c r="G293" s="364">
        <f t="shared" si="114"/>
        <v>1.1560902745337778</v>
      </c>
      <c r="H293" s="365">
        <f t="shared" si="115"/>
        <v>-0.52567713456235954</v>
      </c>
      <c r="I293" s="363">
        <f t="shared" si="116"/>
        <v>80881.326037747407</v>
      </c>
      <c r="J293" s="366">
        <f t="shared" si="117"/>
        <v>1.5707839630015588</v>
      </c>
      <c r="K293" s="374">
        <f t="shared" si="133"/>
        <v>25.044997191710948</v>
      </c>
      <c r="L293" s="375">
        <f t="shared" si="134"/>
        <v>1.530857576055165</v>
      </c>
      <c r="M293" s="363">
        <f t="shared" si="118"/>
        <v>1.2666874107624788</v>
      </c>
      <c r="N293" s="366">
        <f t="shared" si="119"/>
        <v>0.66086635982932174</v>
      </c>
      <c r="O293" s="367">
        <f t="shared" si="120"/>
        <v>1.0488192181482323</v>
      </c>
      <c r="P293" s="368">
        <f t="shared" si="121"/>
        <v>0.37568996471218691</v>
      </c>
      <c r="Q293" s="369">
        <f t="shared" si="122"/>
        <v>-10.107693614225697</v>
      </c>
      <c r="R293" s="370">
        <f t="shared" si="123"/>
        <v>-171.35242459716011</v>
      </c>
      <c r="S293" s="372">
        <f t="shared" si="124"/>
        <v>8.647575402839891</v>
      </c>
      <c r="U293" s="345">
        <f t="shared" si="130"/>
        <v>19498</v>
      </c>
      <c r="V293" s="345">
        <f t="shared" si="131"/>
        <v>380172004</v>
      </c>
      <c r="X293" s="371">
        <f t="shared" si="125"/>
        <v>15.860739737342699</v>
      </c>
      <c r="Y293" s="372">
        <f t="shared" si="126"/>
        <v>-40.1524667495096</v>
      </c>
      <c r="AA293" s="371">
        <f t="shared" si="127"/>
        <v>31.532791916265602</v>
      </c>
      <c r="AB293" s="372">
        <f t="shared" si="128"/>
        <v>-131.19995784765047</v>
      </c>
      <c r="AD293">
        <f t="shared" si="132"/>
        <v>0</v>
      </c>
      <c r="AE293">
        <f t="shared" si="135"/>
        <v>0</v>
      </c>
    </row>
    <row r="294" spans="1:31" x14ac:dyDescent="0.2">
      <c r="A294" s="373">
        <v>19611.75</v>
      </c>
      <c r="B294" s="390">
        <f t="shared" si="129"/>
        <v>19.611750000000001</v>
      </c>
      <c r="C294" s="363">
        <f t="shared" si="110"/>
        <v>27.694747498982338</v>
      </c>
      <c r="D294" s="364">
        <f t="shared" si="111"/>
        <v>1.5346805461861666</v>
      </c>
      <c r="E294" s="364">
        <f t="shared" si="112"/>
        <v>1.0108735202970895</v>
      </c>
      <c r="F294" s="365">
        <f t="shared" si="113"/>
        <v>0.14680530011090934</v>
      </c>
      <c r="G294" s="364">
        <f t="shared" si="114"/>
        <v>1.157792267608768</v>
      </c>
      <c r="H294" s="365">
        <f t="shared" si="115"/>
        <v>-0.52820562201038346</v>
      </c>
      <c r="I294" s="363">
        <f t="shared" si="116"/>
        <v>81353.182168396263</v>
      </c>
      <c r="J294" s="366">
        <f t="shared" si="117"/>
        <v>1.5707840347127264</v>
      </c>
      <c r="K294" s="374">
        <f t="shared" si="133"/>
        <v>25.190875730841238</v>
      </c>
      <c r="L294" s="375">
        <f t="shared" si="134"/>
        <v>1.5310889804555015</v>
      </c>
      <c r="M294" s="363">
        <f t="shared" si="118"/>
        <v>1.2694765688494514</v>
      </c>
      <c r="N294" s="366">
        <f t="shared" si="119"/>
        <v>0.66368711144324533</v>
      </c>
      <c r="O294" s="367">
        <f t="shared" si="120"/>
        <v>1.0493803911254669</v>
      </c>
      <c r="P294" s="368">
        <f t="shared" si="121"/>
        <v>0.37777971327300863</v>
      </c>
      <c r="Q294" s="369">
        <f t="shared" si="122"/>
        <v>-10.168131024798388</v>
      </c>
      <c r="R294" s="370">
        <f t="shared" si="123"/>
        <v>-171.7293597789139</v>
      </c>
      <c r="S294" s="372">
        <f t="shared" si="124"/>
        <v>8.2706402210860972</v>
      </c>
      <c r="U294" s="345">
        <f t="shared" si="130"/>
        <v>19611.75</v>
      </c>
      <c r="V294" s="345">
        <f t="shared" si="131"/>
        <v>384620738.0625</v>
      </c>
      <c r="X294" s="371">
        <f t="shared" si="125"/>
        <v>15.841554950104641</v>
      </c>
      <c r="Y294" s="372">
        <f t="shared" si="126"/>
        <v>-40.300829525458894</v>
      </c>
      <c r="AA294" s="371">
        <f t="shared" si="127"/>
        <v>31.491539292930973</v>
      </c>
      <c r="AB294" s="372">
        <f t="shared" si="128"/>
        <v>-131.42853025345499</v>
      </c>
      <c r="AD294">
        <f t="shared" si="132"/>
        <v>0</v>
      </c>
      <c r="AE294">
        <f t="shared" si="135"/>
        <v>0</v>
      </c>
    </row>
    <row r="295" spans="1:31" x14ac:dyDescent="0.2">
      <c r="A295" s="373">
        <v>19725.5</v>
      </c>
      <c r="B295" s="390">
        <f t="shared" si="129"/>
        <v>19.7255</v>
      </c>
      <c r="C295" s="363">
        <f t="shared" si="110"/>
        <v>27.855170820626039</v>
      </c>
      <c r="D295" s="364">
        <f t="shared" si="111"/>
        <v>1.5348886336592651</v>
      </c>
      <c r="E295" s="364">
        <f t="shared" si="112"/>
        <v>1.010999332795808</v>
      </c>
      <c r="F295" s="365">
        <f t="shared" si="113"/>
        <v>0.14764449896241755</v>
      </c>
      <c r="G295" s="364">
        <f t="shared" si="114"/>
        <v>1.1595016409797489</v>
      </c>
      <c r="H295" s="365">
        <f t="shared" si="115"/>
        <v>-0.53072667038696908</v>
      </c>
      <c r="I295" s="363">
        <f t="shared" si="116"/>
        <v>81825.038299045525</v>
      </c>
      <c r="J295" s="366">
        <f t="shared" si="117"/>
        <v>1.5707841055968279</v>
      </c>
      <c r="K295" s="374">
        <f t="shared" si="133"/>
        <v>25.336755603359354</v>
      </c>
      <c r="L295" s="375">
        <f t="shared" si="134"/>
        <v>1.5313177201823283</v>
      </c>
      <c r="M295" s="363">
        <f t="shared" si="118"/>
        <v>1.2722757833702873</v>
      </c>
      <c r="N295" s="366">
        <f t="shared" si="119"/>
        <v>0.66649547309204371</v>
      </c>
      <c r="O295" s="367">
        <f t="shared" si="120"/>
        <v>1.0499446037522266</v>
      </c>
      <c r="P295" s="368">
        <f t="shared" si="121"/>
        <v>0.37986780377208285</v>
      </c>
      <c r="Q295" s="369">
        <f t="shared" si="122"/>
        <v>-10.228282878095678</v>
      </c>
      <c r="R295" s="370">
        <f t="shared" si="123"/>
        <v>-172.1050894759509</v>
      </c>
      <c r="S295" s="372">
        <f t="shared" si="124"/>
        <v>7.8949105240490951</v>
      </c>
      <c r="U295" s="345">
        <f t="shared" si="130"/>
        <v>19725.5</v>
      </c>
      <c r="V295" s="345">
        <f t="shared" si="131"/>
        <v>389095350.25</v>
      </c>
      <c r="X295" s="371">
        <f t="shared" si="125"/>
        <v>15.822344815630242</v>
      </c>
      <c r="Y295" s="372">
        <f t="shared" si="126"/>
        <v>-40.448635035856022</v>
      </c>
      <c r="AA295" s="371">
        <f t="shared" si="127"/>
        <v>31.45059757410808</v>
      </c>
      <c r="AB295" s="372">
        <f t="shared" si="128"/>
        <v>-131.65645444009485</v>
      </c>
      <c r="AD295">
        <f t="shared" si="132"/>
        <v>0</v>
      </c>
      <c r="AE295">
        <f t="shared" si="135"/>
        <v>0</v>
      </c>
    </row>
    <row r="296" spans="1:31" x14ac:dyDescent="0.2">
      <c r="A296" s="373">
        <v>19839.25</v>
      </c>
      <c r="B296" s="390">
        <f t="shared" si="129"/>
        <v>19.83925</v>
      </c>
      <c r="C296" s="363">
        <f t="shared" si="110"/>
        <v>28.015595334596419</v>
      </c>
      <c r="D296" s="364">
        <f t="shared" si="111"/>
        <v>1.5350943380162629</v>
      </c>
      <c r="E296" s="364">
        <f t="shared" si="112"/>
        <v>1.0111258571180926</v>
      </c>
      <c r="F296" s="365">
        <f t="shared" si="113"/>
        <v>0.14848348838320199</v>
      </c>
      <c r="G296" s="364">
        <f t="shared" si="114"/>
        <v>1.1612183620541912</v>
      </c>
      <c r="H296" s="365">
        <f t="shared" si="115"/>
        <v>-0.5332402805690345</v>
      </c>
      <c r="I296" s="363">
        <f t="shared" si="116"/>
        <v>82296.894429695196</v>
      </c>
      <c r="J296" s="366">
        <f t="shared" si="117"/>
        <v>1.5707841756680898</v>
      </c>
      <c r="K296" s="374">
        <f t="shared" si="133"/>
        <v>25.482636786365656</v>
      </c>
      <c r="L296" s="375">
        <f t="shared" si="134"/>
        <v>1.5315438409751003</v>
      </c>
      <c r="M296" s="363">
        <f t="shared" si="118"/>
        <v>1.2750849880938371</v>
      </c>
      <c r="N296" s="366">
        <f t="shared" si="119"/>
        <v>0.66929148222254087</v>
      </c>
      <c r="O296" s="367">
        <f t="shared" si="120"/>
        <v>1.0505118524853421</v>
      </c>
      <c r="P296" s="368">
        <f t="shared" si="121"/>
        <v>0.38195422986284772</v>
      </c>
      <c r="Q296" s="369">
        <f t="shared" si="122"/>
        <v>-10.288152190564153</v>
      </c>
      <c r="R296" s="370">
        <f t="shared" si="123"/>
        <v>-172.47961534939455</v>
      </c>
      <c r="S296" s="372">
        <f t="shared" si="124"/>
        <v>7.5203846506054504</v>
      </c>
      <c r="U296" s="345">
        <f t="shared" si="130"/>
        <v>19839.25</v>
      </c>
      <c r="V296" s="345">
        <f t="shared" si="131"/>
        <v>393595840.5625</v>
      </c>
      <c r="X296" s="371">
        <f t="shared" si="125"/>
        <v>15.80311002210089</v>
      </c>
      <c r="Y296" s="372">
        <f t="shared" si="126"/>
        <v>-40.595882806383408</v>
      </c>
      <c r="AA296" s="371">
        <f t="shared" si="127"/>
        <v>31.409963055168962</v>
      </c>
      <c r="AB296" s="372">
        <f t="shared" si="128"/>
        <v>-131.88373254301118</v>
      </c>
      <c r="AD296">
        <f t="shared" si="132"/>
        <v>0</v>
      </c>
      <c r="AE296">
        <f t="shared" si="135"/>
        <v>0</v>
      </c>
    </row>
    <row r="297" spans="1:31" x14ac:dyDescent="0.2">
      <c r="A297" s="373">
        <v>19953</v>
      </c>
      <c r="B297" s="390">
        <f t="shared" si="129"/>
        <v>19.952999999999999</v>
      </c>
      <c r="C297" s="363">
        <f t="shared" si="110"/>
        <v>28.176021020527386</v>
      </c>
      <c r="D297" s="364">
        <f t="shared" si="111"/>
        <v>1.5352976999458141</v>
      </c>
      <c r="E297" s="364">
        <f t="shared" si="112"/>
        <v>1.0112530929967607</v>
      </c>
      <c r="F297" s="365">
        <f t="shared" si="113"/>
        <v>0.14932226727096023</v>
      </c>
      <c r="G297" s="364">
        <f t="shared" si="114"/>
        <v>1.1629423982923299</v>
      </c>
      <c r="H297" s="365">
        <f t="shared" si="115"/>
        <v>-0.53574645380429842</v>
      </c>
      <c r="I297" s="363">
        <f t="shared" si="116"/>
        <v>82768.750560345288</v>
      </c>
      <c r="J297" s="366">
        <f t="shared" si="117"/>
        <v>1.5707842449404135</v>
      </c>
      <c r="K297" s="374">
        <f t="shared" si="133"/>
        <v>25.628519257481685</v>
      </c>
      <c r="L297" s="375">
        <f t="shared" si="134"/>
        <v>1.531767387532927</v>
      </c>
      <c r="M297" s="363">
        <f t="shared" si="118"/>
        <v>1.2779041171359935</v>
      </c>
      <c r="N297" s="366">
        <f t="shared" si="119"/>
        <v>0.67207517672541794</v>
      </c>
      <c r="O297" s="367">
        <f t="shared" si="120"/>
        <v>1.0510821337707901</v>
      </c>
      <c r="P297" s="368">
        <f t="shared" si="121"/>
        <v>0.38403898524555624</v>
      </c>
      <c r="Q297" s="369">
        <f t="shared" si="122"/>
        <v>-10.347741926220518</v>
      </c>
      <c r="R297" s="370">
        <f t="shared" si="123"/>
        <v>-172.85293911493275</v>
      </c>
      <c r="S297" s="372">
        <f t="shared" si="124"/>
        <v>7.1470608850672477</v>
      </c>
      <c r="U297" s="345">
        <f t="shared" si="130"/>
        <v>19953</v>
      </c>
      <c r="V297" s="345">
        <f t="shared" si="131"/>
        <v>398122209</v>
      </c>
      <c r="X297" s="371">
        <f t="shared" si="125"/>
        <v>15.783851251107833</v>
      </c>
      <c r="Y297" s="372">
        <f t="shared" si="126"/>
        <v>-40.742572447743271</v>
      </c>
      <c r="AA297" s="371">
        <f t="shared" si="127"/>
        <v>31.36963209050565</v>
      </c>
      <c r="AB297" s="372">
        <f t="shared" si="128"/>
        <v>-132.11036666718948</v>
      </c>
      <c r="AD297">
        <f t="shared" si="132"/>
        <v>0</v>
      </c>
      <c r="AE297">
        <f t="shared" si="135"/>
        <v>0</v>
      </c>
    </row>
    <row r="298" spans="1:31" x14ac:dyDescent="0.2">
      <c r="A298" s="373">
        <v>20069</v>
      </c>
      <c r="B298" s="390">
        <f t="shared" si="129"/>
        <v>20.068999999999999</v>
      </c>
      <c r="C298" s="363">
        <f t="shared" si="110"/>
        <v>28.339621148114414</v>
      </c>
      <c r="D298" s="364">
        <f t="shared" si="111"/>
        <v>1.5355027132538783</v>
      </c>
      <c r="E298" s="364">
        <f t="shared" si="112"/>
        <v>1.0113835781583684</v>
      </c>
      <c r="F298" s="365">
        <f t="shared" si="113"/>
        <v>0.15017741942777052</v>
      </c>
      <c r="G298" s="364">
        <f t="shared" si="114"/>
        <v>1.1647080363083921</v>
      </c>
      <c r="H298" s="365">
        <f t="shared" si="115"/>
        <v>-0.53829454231367391</v>
      </c>
      <c r="I298" s="363">
        <f t="shared" si="116"/>
        <v>83249.940108964671</v>
      </c>
      <c r="J298" s="366">
        <f t="shared" si="117"/>
        <v>1.5707843147742426</v>
      </c>
      <c r="K298" s="374">
        <f t="shared" si="133"/>
        <v>25.777288619847607</v>
      </c>
      <c r="L298" s="375">
        <f t="shared" si="134"/>
        <v>1.5319927500583996</v>
      </c>
      <c r="M298" s="363">
        <f t="shared" si="118"/>
        <v>1.2807891619518295</v>
      </c>
      <c r="N298" s="366">
        <f t="shared" si="119"/>
        <v>0.6749012906295081</v>
      </c>
      <c r="O298" s="367">
        <f t="shared" si="120"/>
        <v>1.0516668147723467</v>
      </c>
      <c r="P298" s="368">
        <f t="shared" si="121"/>
        <v>0.38616325046069394</v>
      </c>
      <c r="Q298" s="369">
        <f t="shared" si="122"/>
        <v>-10.40822545268259</v>
      </c>
      <c r="R298" s="370">
        <f t="shared" si="123"/>
        <v>-173.23241113078387</v>
      </c>
      <c r="S298" s="372">
        <f t="shared" si="124"/>
        <v>6.7675888692161266</v>
      </c>
      <c r="U298" s="345">
        <f t="shared" si="130"/>
        <v>20069</v>
      </c>
      <c r="V298" s="345">
        <f t="shared" si="131"/>
        <v>402764761</v>
      </c>
      <c r="X298" s="371">
        <f t="shared" si="125"/>
        <v>15.764187543521459</v>
      </c>
      <c r="Y298" s="372">
        <f t="shared" si="126"/>
        <v>-40.891588526654836</v>
      </c>
      <c r="AA298" s="371">
        <f t="shared" si="127"/>
        <v>31.328812271629953</v>
      </c>
      <c r="AB298" s="372">
        <f t="shared" si="128"/>
        <v>-132.34082260412902</v>
      </c>
      <c r="AD298">
        <f t="shared" si="132"/>
        <v>0</v>
      </c>
      <c r="AE298">
        <f t="shared" si="135"/>
        <v>0</v>
      </c>
    </row>
    <row r="299" spans="1:31" x14ac:dyDescent="0.2">
      <c r="A299" s="373">
        <v>20185</v>
      </c>
      <c r="B299" s="390">
        <f t="shared" si="129"/>
        <v>20.184999999999999</v>
      </c>
      <c r="C299" s="363">
        <f t="shared" si="110"/>
        <v>28.503222453155189</v>
      </c>
      <c r="D299" s="364">
        <f t="shared" si="111"/>
        <v>1.5357053731210588</v>
      </c>
      <c r="E299" s="364">
        <f t="shared" si="112"/>
        <v>1.0115148027386953</v>
      </c>
      <c r="F299" s="365">
        <f t="shared" si="113"/>
        <v>0.15103235033057225</v>
      </c>
      <c r="G299" s="364">
        <f t="shared" si="114"/>
        <v>1.166481213566992</v>
      </c>
      <c r="H299" s="365">
        <f t="shared" si="115"/>
        <v>-0.54083490053656025</v>
      </c>
      <c r="I299" s="363">
        <f t="shared" si="116"/>
        <v>83731.129657584461</v>
      </c>
      <c r="J299" s="366">
        <f t="shared" si="117"/>
        <v>1.5707843838054241</v>
      </c>
      <c r="K299" s="374">
        <f t="shared" si="133"/>
        <v>25.92605927637257</v>
      </c>
      <c r="L299" s="375">
        <f t="shared" si="134"/>
        <v>1.5322155262142865</v>
      </c>
      <c r="M299" s="363">
        <f t="shared" si="118"/>
        <v>1.2836843902991428</v>
      </c>
      <c r="N299" s="366">
        <f t="shared" si="119"/>
        <v>0.67771467885610559</v>
      </c>
      <c r="O299" s="367">
        <f t="shared" si="120"/>
        <v>1.0522546419828205</v>
      </c>
      <c r="P299" s="368">
        <f t="shared" si="121"/>
        <v>0.3882857651364362</v>
      </c>
      <c r="Q299" s="369">
        <f t="shared" si="122"/>
        <v>-10.468424297531593</v>
      </c>
      <c r="R299" s="370">
        <f t="shared" si="123"/>
        <v>-173.61063678447641</v>
      </c>
      <c r="S299" s="372">
        <f t="shared" si="124"/>
        <v>6.3893632155235878</v>
      </c>
      <c r="U299" s="345">
        <f t="shared" si="130"/>
        <v>20185</v>
      </c>
      <c r="V299" s="345">
        <f t="shared" si="131"/>
        <v>407434225</v>
      </c>
      <c r="X299" s="371">
        <f t="shared" si="125"/>
        <v>15.744500311246066</v>
      </c>
      <c r="Y299" s="372">
        <f t="shared" si="126"/>
        <v>-41.040023620027164</v>
      </c>
      <c r="AA299" s="371">
        <f t="shared" si="127"/>
        <v>31.288300659056347</v>
      </c>
      <c r="AB299" s="372">
        <f t="shared" si="128"/>
        <v>-132.57061316444921</v>
      </c>
      <c r="AD299">
        <f t="shared" si="132"/>
        <v>0</v>
      </c>
      <c r="AE299">
        <f t="shared" si="135"/>
        <v>0</v>
      </c>
    </row>
    <row r="300" spans="1:31" x14ac:dyDescent="0.2">
      <c r="A300" s="373">
        <v>20301</v>
      </c>
      <c r="B300" s="390">
        <f t="shared" si="129"/>
        <v>20.300999999999998</v>
      </c>
      <c r="C300" s="363">
        <f t="shared" si="110"/>
        <v>28.666824915490551</v>
      </c>
      <c r="D300" s="364">
        <f t="shared" si="111"/>
        <v>1.5359057198240462</v>
      </c>
      <c r="E300" s="364">
        <f t="shared" si="112"/>
        <v>1.0116467664500031</v>
      </c>
      <c r="F300" s="365">
        <f t="shared" si="113"/>
        <v>0.15188705881595913</v>
      </c>
      <c r="G300" s="364">
        <f t="shared" si="114"/>
        <v>1.1682618957391488</v>
      </c>
      <c r="H300" s="365">
        <f t="shared" si="115"/>
        <v>-0.54336753095852031</v>
      </c>
      <c r="I300" s="363">
        <f t="shared" si="116"/>
        <v>84212.319206204644</v>
      </c>
      <c r="J300" s="366">
        <f t="shared" si="117"/>
        <v>1.5707844520477166</v>
      </c>
      <c r="K300" s="374">
        <f t="shared" si="133"/>
        <v>26.074831204904999</v>
      </c>
      <c r="L300" s="375">
        <f t="shared" si="134"/>
        <v>1.5324357602484668</v>
      </c>
      <c r="M300" s="363">
        <f t="shared" si="118"/>
        <v>1.2865897334295653</v>
      </c>
      <c r="N300" s="366">
        <f t="shared" si="119"/>
        <v>0.68051538292873792</v>
      </c>
      <c r="O300" s="367">
        <f t="shared" si="120"/>
        <v>1.0528456115990754</v>
      </c>
      <c r="P300" s="368">
        <f t="shared" si="121"/>
        <v>0.39040652274232546</v>
      </c>
      <c r="Q300" s="369">
        <f t="shared" si="122"/>
        <v>-10.528341443808584</v>
      </c>
      <c r="R300" s="370">
        <f t="shared" si="123"/>
        <v>-173.98761806329208</v>
      </c>
      <c r="S300" s="372">
        <f t="shared" si="124"/>
        <v>6.012381936707925</v>
      </c>
      <c r="U300" s="345">
        <f t="shared" si="130"/>
        <v>20301</v>
      </c>
      <c r="V300" s="345">
        <f t="shared" si="131"/>
        <v>412130601</v>
      </c>
      <c r="X300" s="371">
        <f t="shared" si="125"/>
        <v>15.724790255916874</v>
      </c>
      <c r="Y300" s="372">
        <f t="shared" si="126"/>
        <v>-41.187877572554726</v>
      </c>
      <c r="AA300" s="371">
        <f t="shared" si="127"/>
        <v>31.248093568108544</v>
      </c>
      <c r="AB300" s="372">
        <f t="shared" si="128"/>
        <v>-132.79974049073735</v>
      </c>
      <c r="AD300">
        <f t="shared" si="132"/>
        <v>0</v>
      </c>
      <c r="AE300">
        <f t="shared" si="135"/>
        <v>0</v>
      </c>
    </row>
    <row r="301" spans="1:31" x14ac:dyDescent="0.2">
      <c r="A301" s="373">
        <v>20417</v>
      </c>
      <c r="B301" s="390">
        <f t="shared" si="129"/>
        <v>20.417000000000002</v>
      </c>
      <c r="C301" s="363">
        <f t="shared" si="110"/>
        <v>28.830428515418799</v>
      </c>
      <c r="D301" s="364">
        <f t="shared" si="111"/>
        <v>1.5361037927260528</v>
      </c>
      <c r="E301" s="364">
        <f t="shared" si="112"/>
        <v>1.0117794690030826</v>
      </c>
      <c r="F301" s="365">
        <f t="shared" si="113"/>
        <v>0.15274154372242985</v>
      </c>
      <c r="G301" s="364">
        <f t="shared" si="114"/>
        <v>1.1700500485600065</v>
      </c>
      <c r="H301" s="365">
        <f t="shared" si="115"/>
        <v>-0.54589243644655794</v>
      </c>
      <c r="I301" s="363">
        <f t="shared" si="116"/>
        <v>84693.508754825205</v>
      </c>
      <c r="J301" s="366">
        <f t="shared" si="117"/>
        <v>1.5707845195145664</v>
      </c>
      <c r="K301" s="374">
        <f t="shared" si="133"/>
        <v>26.223604383795799</v>
      </c>
      <c r="L301" s="375">
        <f t="shared" si="134"/>
        <v>1.5326534954057027</v>
      </c>
      <c r="M301" s="363">
        <f t="shared" si="118"/>
        <v>1.2895051229752068</v>
      </c>
      <c r="N301" s="366">
        <f t="shared" si="119"/>
        <v>0.68330344479331884</v>
      </c>
      <c r="O301" s="367">
        <f t="shared" si="120"/>
        <v>1.0534397198068142</v>
      </c>
      <c r="P301" s="368">
        <f t="shared" si="121"/>
        <v>0.39252551679862219</v>
      </c>
      <c r="Q301" s="369">
        <f t="shared" si="122"/>
        <v>-10.587979823174853</v>
      </c>
      <c r="R301" s="370">
        <f t="shared" si="123"/>
        <v>-174.36335700848338</v>
      </c>
      <c r="S301" s="372">
        <f t="shared" si="124"/>
        <v>5.6366429915166236</v>
      </c>
      <c r="U301" s="345">
        <f t="shared" si="130"/>
        <v>20417</v>
      </c>
      <c r="V301" s="345">
        <f t="shared" si="131"/>
        <v>416853889</v>
      </c>
      <c r="X301" s="371">
        <f t="shared" si="125"/>
        <v>15.705058072028567</v>
      </c>
      <c r="Y301" s="372">
        <f t="shared" si="126"/>
        <v>-41.335150310589391</v>
      </c>
      <c r="AA301" s="371">
        <f t="shared" si="127"/>
        <v>31.208187372630579</v>
      </c>
      <c r="AB301" s="372">
        <f t="shared" si="128"/>
        <v>-133.02820669789398</v>
      </c>
      <c r="AD301">
        <f t="shared" si="132"/>
        <v>0</v>
      </c>
      <c r="AE301">
        <f t="shared" si="135"/>
        <v>0</v>
      </c>
    </row>
    <row r="302" spans="1:31" x14ac:dyDescent="0.2">
      <c r="A302" s="373">
        <v>20536</v>
      </c>
      <c r="B302" s="390">
        <f t="shared" si="129"/>
        <v>20.536000000000001</v>
      </c>
      <c r="C302" s="363">
        <f t="shared" si="110"/>
        <v>28.998264404855259</v>
      </c>
      <c r="D302" s="364">
        <f t="shared" si="111"/>
        <v>1.5363046657536319</v>
      </c>
      <c r="E302" s="364">
        <f t="shared" si="112"/>
        <v>1.0119163709649022</v>
      </c>
      <c r="F302" s="365">
        <f t="shared" si="113"/>
        <v>0.15361789383414154</v>
      </c>
      <c r="G302" s="364">
        <f t="shared" si="114"/>
        <v>1.1718921738260926</v>
      </c>
      <c r="H302" s="365">
        <f t="shared" si="115"/>
        <v>-0.54847461742498826</v>
      </c>
      <c r="I302" s="363">
        <f t="shared" si="116"/>
        <v>85187.14286073808</v>
      </c>
      <c r="J302" s="366">
        <f t="shared" si="117"/>
        <v>1.570784587934237</v>
      </c>
      <c r="K302" s="374">
        <f t="shared" si="133"/>
        <v>26.376226422006059</v>
      </c>
      <c r="L302" s="375">
        <f t="shared" si="134"/>
        <v>1.5328743092887813</v>
      </c>
      <c r="M302" s="363">
        <f t="shared" si="118"/>
        <v>1.2925062787800137</v>
      </c>
      <c r="N302" s="366">
        <f t="shared" si="119"/>
        <v>0.68615051923332326</v>
      </c>
      <c r="O302" s="367">
        <f t="shared" si="120"/>
        <v>1.0540524502694697</v>
      </c>
      <c r="P302" s="368">
        <f t="shared" si="121"/>
        <v>0.39469747313460835</v>
      </c>
      <c r="Q302" s="369">
        <f t="shared" si="122"/>
        <v>-10.648873919803972</v>
      </c>
      <c r="R302" s="370">
        <f t="shared" si="123"/>
        <v>-174.74752459215736</v>
      </c>
      <c r="S302" s="372">
        <f t="shared" si="124"/>
        <v>5.2524754078426383</v>
      </c>
      <c r="U302" s="345">
        <f t="shared" si="130"/>
        <v>20536</v>
      </c>
      <c r="V302" s="345">
        <f t="shared" si="131"/>
        <v>421727296</v>
      </c>
      <c r="X302" s="371">
        <f t="shared" si="125"/>
        <v>15.684793299005745</v>
      </c>
      <c r="Y302" s="372">
        <f t="shared" si="126"/>
        <v>-41.485627876733233</v>
      </c>
      <c r="AA302" s="371">
        <f t="shared" si="127"/>
        <v>31.167558049024283</v>
      </c>
      <c r="AB302" s="372">
        <f t="shared" si="128"/>
        <v>-133.26189671542414</v>
      </c>
      <c r="AD302">
        <f t="shared" si="132"/>
        <v>0</v>
      </c>
      <c r="AE302">
        <f t="shared" si="135"/>
        <v>0</v>
      </c>
    </row>
    <row r="303" spans="1:31" x14ac:dyDescent="0.2">
      <c r="A303" s="373">
        <v>20655</v>
      </c>
      <c r="B303" s="390">
        <f t="shared" si="129"/>
        <v>20.655000000000001</v>
      </c>
      <c r="C303" s="363">
        <f t="shared" si="110"/>
        <v>29.166101450904478</v>
      </c>
      <c r="D303" s="364">
        <f t="shared" si="111"/>
        <v>1.5365032269316194</v>
      </c>
      <c r="E303" s="364">
        <f t="shared" si="112"/>
        <v>1.0120540498572901</v>
      </c>
      <c r="F303" s="365">
        <f t="shared" si="113"/>
        <v>0.15449400618283662</v>
      </c>
      <c r="G303" s="364">
        <f t="shared" si="114"/>
        <v>1.1737420883121721</v>
      </c>
      <c r="H303" s="365">
        <f t="shared" si="115"/>
        <v>-0.55104867606035579</v>
      </c>
      <c r="I303" s="363">
        <f t="shared" si="116"/>
        <v>85680.776966651363</v>
      </c>
      <c r="J303" s="366">
        <f t="shared" si="117"/>
        <v>1.5707846555655331</v>
      </c>
      <c r="K303" s="374">
        <f t="shared" si="133"/>
        <v>26.528849731490961</v>
      </c>
      <c r="L303" s="375">
        <f t="shared" si="134"/>
        <v>1.5330925824506347</v>
      </c>
      <c r="M303" s="363">
        <f t="shared" si="118"/>
        <v>1.2955178628346562</v>
      </c>
      <c r="N303" s="366">
        <f t="shared" si="119"/>
        <v>0.68898437983476035</v>
      </c>
      <c r="O303" s="367">
        <f t="shared" si="120"/>
        <v>1.054668475596265</v>
      </c>
      <c r="P303" s="368">
        <f t="shared" si="121"/>
        <v>0.3968675598724376</v>
      </c>
      <c r="Q303" s="369">
        <f t="shared" si="122"/>
        <v>-10.709480733802319</v>
      </c>
      <c r="R303" s="370">
        <f t="shared" si="123"/>
        <v>-175.13038927361325</v>
      </c>
      <c r="S303" s="372">
        <f t="shared" si="124"/>
        <v>4.8696107263867532</v>
      </c>
      <c r="U303" s="345">
        <f t="shared" si="130"/>
        <v>20655</v>
      </c>
      <c r="V303" s="345">
        <f t="shared" si="131"/>
        <v>426629025</v>
      </c>
      <c r="X303" s="371">
        <f t="shared" si="125"/>
        <v>15.664506695658794</v>
      </c>
      <c r="Y303" s="372">
        <f t="shared" si="126"/>
        <v>-41.635493873127885</v>
      </c>
      <c r="AA303" s="371">
        <f t="shared" si="127"/>
        <v>31.127237838372888</v>
      </c>
      <c r="AB303" s="372">
        <f t="shared" si="128"/>
        <v>-133.49489540048538</v>
      </c>
      <c r="AD303">
        <f t="shared" si="132"/>
        <v>0</v>
      </c>
      <c r="AE303">
        <f t="shared" si="135"/>
        <v>0</v>
      </c>
    </row>
    <row r="304" spans="1:31" x14ac:dyDescent="0.2">
      <c r="A304" s="373">
        <v>20774</v>
      </c>
      <c r="B304" s="390">
        <f t="shared" si="129"/>
        <v>20.774000000000001</v>
      </c>
      <c r="C304" s="363">
        <f t="shared" si="110"/>
        <v>29.333939633713435</v>
      </c>
      <c r="D304" s="364">
        <f t="shared" si="111"/>
        <v>1.5366995159269221</v>
      </c>
      <c r="E304" s="364">
        <f t="shared" si="112"/>
        <v>1.0121925053632108</v>
      </c>
      <c r="F304" s="365">
        <f t="shared" si="113"/>
        <v>0.15536987952085257</v>
      </c>
      <c r="G304" s="364">
        <f t="shared" si="114"/>
        <v>1.17559975524708</v>
      </c>
      <c r="H304" s="365">
        <f t="shared" si="115"/>
        <v>-0.55361461666668432</v>
      </c>
      <c r="I304" s="363">
        <f t="shared" si="116"/>
        <v>86174.41107256501</v>
      </c>
      <c r="J304" s="366">
        <f t="shared" si="117"/>
        <v>1.5707847224220024</v>
      </c>
      <c r="K304" s="374">
        <f t="shared" si="133"/>
        <v>26.681474290434686</v>
      </c>
      <c r="L304" s="375">
        <f t="shared" si="134"/>
        <v>1.5333083584709246</v>
      </c>
      <c r="M304" s="363">
        <f t="shared" si="118"/>
        <v>1.298539802583291</v>
      </c>
      <c r="N304" s="366">
        <f t="shared" si="119"/>
        <v>0.69180507317647066</v>
      </c>
      <c r="O304" s="367">
        <f t="shared" si="120"/>
        <v>1.0552877916335879</v>
      </c>
      <c r="P304" s="368">
        <f t="shared" si="121"/>
        <v>0.39903577018299052</v>
      </c>
      <c r="Q304" s="369">
        <f t="shared" si="122"/>
        <v>-10.769803269749707</v>
      </c>
      <c r="R304" s="370">
        <f t="shared" si="123"/>
        <v>-175.51195342559532</v>
      </c>
      <c r="S304" s="372">
        <f t="shared" si="124"/>
        <v>4.4880465744046774</v>
      </c>
      <c r="U304" s="345">
        <f t="shared" si="130"/>
        <v>20774</v>
      </c>
      <c r="V304" s="345">
        <f t="shared" si="131"/>
        <v>431559076</v>
      </c>
      <c r="X304" s="371">
        <f t="shared" si="125"/>
        <v>15.644198988377205</v>
      </c>
      <c r="Y304" s="372">
        <f t="shared" si="126"/>
        <v>-41.784748472389857</v>
      </c>
      <c r="AA304" s="371">
        <f t="shared" si="127"/>
        <v>31.087223009707088</v>
      </c>
      <c r="AB304" s="372">
        <f t="shared" si="128"/>
        <v>-133.72720495320547</v>
      </c>
      <c r="AD304">
        <f t="shared" si="132"/>
        <v>0</v>
      </c>
      <c r="AE304">
        <f t="shared" si="135"/>
        <v>0</v>
      </c>
    </row>
    <row r="305" spans="1:31" x14ac:dyDescent="0.2">
      <c r="A305" s="373">
        <v>20893</v>
      </c>
      <c r="B305" s="390">
        <f t="shared" si="129"/>
        <v>20.893000000000001</v>
      </c>
      <c r="C305" s="363">
        <f t="shared" si="110"/>
        <v>29.501778933880747</v>
      </c>
      <c r="D305" s="364">
        <f t="shared" si="111"/>
        <v>1.5368935715044751</v>
      </c>
      <c r="E305" s="364">
        <f t="shared" si="112"/>
        <v>1.0123317371640146</v>
      </c>
      <c r="F305" s="365">
        <f t="shared" si="113"/>
        <v>0.15624551260267433</v>
      </c>
      <c r="G305" s="364">
        <f t="shared" si="114"/>
        <v>1.1774651379380932</v>
      </c>
      <c r="H305" s="365">
        <f t="shared" si="115"/>
        <v>-0.55617244395842425</v>
      </c>
      <c r="I305" s="363">
        <f t="shared" si="116"/>
        <v>86668.045178479049</v>
      </c>
      <c r="J305" s="366">
        <f t="shared" si="117"/>
        <v>1.5707847885168846</v>
      </c>
      <c r="K305" s="374">
        <f t="shared" si="133"/>
        <v>26.834100077517551</v>
      </c>
      <c r="L305" s="375">
        <f t="shared" si="134"/>
        <v>1.5335216799387728</v>
      </c>
      <c r="M305" s="363">
        <f t="shared" si="118"/>
        <v>1.3015720258955676</v>
      </c>
      <c r="N305" s="366">
        <f t="shared" si="119"/>
        <v>0.69461264624356678</v>
      </c>
      <c r="O305" s="367">
        <f t="shared" si="120"/>
        <v>1.0559103942161141</v>
      </c>
      <c r="P305" s="368">
        <f t="shared" si="121"/>
        <v>0.4012020972933627</v>
      </c>
      <c r="Q305" s="369">
        <f t="shared" si="122"/>
        <v>-10.829844480659787</v>
      </c>
      <c r="R305" s="370">
        <f t="shared" si="123"/>
        <v>-175.89221947522313</v>
      </c>
      <c r="S305" s="372">
        <f t="shared" si="124"/>
        <v>4.1077805247768708</v>
      </c>
      <c r="U305" s="345">
        <f t="shared" si="130"/>
        <v>20893</v>
      </c>
      <c r="V305" s="345">
        <f t="shared" si="131"/>
        <v>436517449</v>
      </c>
      <c r="X305" s="371">
        <f t="shared" si="125"/>
        <v>15.623870895672683</v>
      </c>
      <c r="Y305" s="372">
        <f t="shared" si="126"/>
        <v>-41.933391927149472</v>
      </c>
      <c r="AA305" s="371">
        <f t="shared" si="127"/>
        <v>31.047509891501534</v>
      </c>
      <c r="AB305" s="372">
        <f t="shared" si="128"/>
        <v>-133.95882754807366</v>
      </c>
      <c r="AD305">
        <f t="shared" si="132"/>
        <v>0</v>
      </c>
      <c r="AE305">
        <f t="shared" si="135"/>
        <v>0</v>
      </c>
    </row>
    <row r="306" spans="1:31" x14ac:dyDescent="0.2">
      <c r="A306" s="373">
        <v>21014.75</v>
      </c>
      <c r="B306" s="390">
        <f t="shared" si="129"/>
        <v>21.014749999999999</v>
      </c>
      <c r="C306" s="363">
        <f t="shared" si="110"/>
        <v>29.673498009952866</v>
      </c>
      <c r="D306" s="364">
        <f t="shared" si="111"/>
        <v>1.5370898396354711</v>
      </c>
      <c r="E306" s="364">
        <f t="shared" si="112"/>
        <v>1.0124749895839731</v>
      </c>
      <c r="F306" s="365">
        <f t="shared" si="113"/>
        <v>0.15714113095752907</v>
      </c>
      <c r="G306" s="364">
        <f t="shared" si="114"/>
        <v>1.1793815753037995</v>
      </c>
      <c r="H306" s="365">
        <f t="shared" si="115"/>
        <v>-0.55878098931543463</v>
      </c>
      <c r="I306" s="363">
        <f t="shared" si="116"/>
        <v>87173.086795244439</v>
      </c>
      <c r="J306" s="366">
        <f t="shared" si="117"/>
        <v>1.5707848553644725</v>
      </c>
      <c r="K306" s="374">
        <f t="shared" si="133"/>
        <v>26.990254180419061</v>
      </c>
      <c r="L306" s="375">
        <f t="shared" si="134"/>
        <v>1.5337374342190704</v>
      </c>
      <c r="M306" s="363">
        <f t="shared" si="118"/>
        <v>1.3046848895950909</v>
      </c>
      <c r="N306" s="366">
        <f t="shared" si="119"/>
        <v>0.69747157103474566</v>
      </c>
      <c r="O306" s="367">
        <f t="shared" si="120"/>
        <v>1.0565507816644368</v>
      </c>
      <c r="P306" s="368">
        <f t="shared" si="121"/>
        <v>0.40341653059831384</v>
      </c>
      <c r="Q306" s="369">
        <f t="shared" si="122"/>
        <v>-10.890985073511917</v>
      </c>
      <c r="R306" s="370">
        <f t="shared" si="123"/>
        <v>-176.27993232634117</v>
      </c>
      <c r="S306" s="372">
        <f t="shared" si="124"/>
        <v>3.7200676736588321</v>
      </c>
      <c r="U306" s="345">
        <f t="shared" si="130"/>
        <v>21014.75</v>
      </c>
      <c r="V306" s="345">
        <f t="shared" si="131"/>
        <v>441619717.5625</v>
      </c>
      <c r="X306" s="371">
        <f t="shared" si="125"/>
        <v>15.603052679705982</v>
      </c>
      <c r="Y306" s="372">
        <f t="shared" si="126"/>
        <v>-42.084838272214121</v>
      </c>
      <c r="AA306" s="371">
        <f t="shared" si="127"/>
        <v>31.007187514616103</v>
      </c>
      <c r="AB306" s="372">
        <f t="shared" si="128"/>
        <v>-134.19509405412705</v>
      </c>
      <c r="AD306">
        <f t="shared" si="132"/>
        <v>0</v>
      </c>
      <c r="AE306">
        <f t="shared" si="135"/>
        <v>0</v>
      </c>
    </row>
    <row r="307" spans="1:31" x14ac:dyDescent="0.2">
      <c r="A307" s="373">
        <v>21136.5</v>
      </c>
      <c r="B307" s="390">
        <f t="shared" si="129"/>
        <v>21.136500000000002</v>
      </c>
      <c r="C307" s="363">
        <f t="shared" si="110"/>
        <v>29.845218215929563</v>
      </c>
      <c r="D307" s="364">
        <f t="shared" si="111"/>
        <v>1.537283849240952</v>
      </c>
      <c r="E307" s="364">
        <f t="shared" si="112"/>
        <v>1.0126190539125983</v>
      </c>
      <c r="F307" s="365">
        <f t="shared" si="113"/>
        <v>0.15803649519290869</v>
      </c>
      <c r="G307" s="364">
        <f t="shared" si="114"/>
        <v>1.1813060117117704</v>
      </c>
      <c r="H307" s="365">
        <f t="shared" si="115"/>
        <v>-0.56138105328323329</v>
      </c>
      <c r="I307" s="363">
        <f t="shared" si="116"/>
        <v>87678.128412010206</v>
      </c>
      <c r="J307" s="366">
        <f t="shared" si="117"/>
        <v>1.5707849214419525</v>
      </c>
      <c r="K307" s="374">
        <f t="shared" si="133"/>
        <v>27.146409525260143</v>
      </c>
      <c r="L307" s="375">
        <f t="shared" si="134"/>
        <v>1.5339507063257645</v>
      </c>
      <c r="M307" s="363">
        <f t="shared" si="118"/>
        <v>1.3078083662577302</v>
      </c>
      <c r="N307" s="366">
        <f t="shared" si="119"/>
        <v>0.70031686288339534</v>
      </c>
      <c r="O307" s="367">
        <f t="shared" si="120"/>
        <v>1.0571946004545283</v>
      </c>
      <c r="P307" s="368">
        <f t="shared" si="121"/>
        <v>0.40562897849595725</v>
      </c>
      <c r="Q307" s="369">
        <f t="shared" si="122"/>
        <v>-10.951837282326107</v>
      </c>
      <c r="R307" s="370">
        <f t="shared" si="123"/>
        <v>-176.66629169406386</v>
      </c>
      <c r="S307" s="372">
        <f t="shared" si="124"/>
        <v>3.3337083059361419</v>
      </c>
      <c r="U307" s="345">
        <f t="shared" si="130"/>
        <v>21136.5</v>
      </c>
      <c r="V307" s="345">
        <f t="shared" si="131"/>
        <v>446751632.25</v>
      </c>
      <c r="X307" s="371">
        <f t="shared" si="125"/>
        <v>15.582214621649687</v>
      </c>
      <c r="Y307" s="372">
        <f t="shared" si="126"/>
        <v>-42.235645681156321</v>
      </c>
      <c r="AA307" s="371">
        <f t="shared" si="127"/>
        <v>30.967173363858208</v>
      </c>
      <c r="AB307" s="372">
        <f t="shared" si="128"/>
        <v>-134.43064601290752</v>
      </c>
      <c r="AD307">
        <f t="shared" si="132"/>
        <v>0</v>
      </c>
      <c r="AE307">
        <f t="shared" si="135"/>
        <v>0</v>
      </c>
    </row>
    <row r="308" spans="1:31" x14ac:dyDescent="0.2">
      <c r="A308" s="373">
        <v>21258.25</v>
      </c>
      <c r="B308" s="390">
        <f t="shared" si="129"/>
        <v>21.25825</v>
      </c>
      <c r="C308" s="363">
        <f t="shared" si="110"/>
        <v>30.016939532419055</v>
      </c>
      <c r="D308" s="364">
        <f t="shared" si="111"/>
        <v>1.5374756390679962</v>
      </c>
      <c r="E308" s="364">
        <f t="shared" si="112"/>
        <v>1.0127639298034117</v>
      </c>
      <c r="F308" s="365">
        <f t="shared" si="113"/>
        <v>0.15893160398197931</v>
      </c>
      <c r="G308" s="364">
        <f t="shared" si="114"/>
        <v>1.1832384081327254</v>
      </c>
      <c r="H308" s="365">
        <f t="shared" si="115"/>
        <v>-0.56397264217577525</v>
      </c>
      <c r="I308" s="363">
        <f t="shared" si="116"/>
        <v>88183.170028776338</v>
      </c>
      <c r="J308" s="366">
        <f t="shared" si="117"/>
        <v>1.5707849867625561</v>
      </c>
      <c r="K308" s="374">
        <f t="shared" si="133"/>
        <v>27.30256609073119</v>
      </c>
      <c r="L308" s="375">
        <f t="shared" si="134"/>
        <v>1.5341615388295353</v>
      </c>
      <c r="M308" s="363">
        <f t="shared" si="118"/>
        <v>1.3109423800235345</v>
      </c>
      <c r="N308" s="366">
        <f t="shared" si="119"/>
        <v>0.70314857333099856</v>
      </c>
      <c r="O308" s="367">
        <f t="shared" si="120"/>
        <v>1.0578418460885766</v>
      </c>
      <c r="P308" s="368">
        <f t="shared" si="121"/>
        <v>0.40783943391559813</v>
      </c>
      <c r="Q308" s="369">
        <f t="shared" si="122"/>
        <v>-11.012404110071266</v>
      </c>
      <c r="R308" s="370">
        <f t="shared" si="123"/>
        <v>-177.05130034584647</v>
      </c>
      <c r="S308" s="372">
        <f t="shared" si="124"/>
        <v>2.9486996541535291</v>
      </c>
      <c r="U308" s="345">
        <f t="shared" si="130"/>
        <v>21258.25</v>
      </c>
      <c r="V308" s="345">
        <f t="shared" si="131"/>
        <v>451913193.0625</v>
      </c>
      <c r="X308" s="371">
        <f t="shared" si="125"/>
        <v>15.561357465489786</v>
      </c>
      <c r="Y308" s="372">
        <f t="shared" si="126"/>
        <v>-42.385814668723349</v>
      </c>
      <c r="AA308" s="371">
        <f t="shared" si="127"/>
        <v>30.927463692272951</v>
      </c>
      <c r="AB308" s="372">
        <f t="shared" si="128"/>
        <v>-134.66548567712312</v>
      </c>
      <c r="AD308">
        <f t="shared" si="132"/>
        <v>0</v>
      </c>
      <c r="AE308">
        <f t="shared" si="135"/>
        <v>0</v>
      </c>
    </row>
    <row r="309" spans="1:31" x14ac:dyDescent="0.2">
      <c r="A309" s="373">
        <v>21380</v>
      </c>
      <c r="B309" s="390">
        <f t="shared" si="129"/>
        <v>21.38</v>
      </c>
      <c r="C309" s="363">
        <f t="shared" si="110"/>
        <v>30.188661940470642</v>
      </c>
      <c r="D309" s="364">
        <f t="shared" si="111"/>
        <v>1.5376652469827237</v>
      </c>
      <c r="E309" s="364">
        <f t="shared" si="112"/>
        <v>1.012909616908181</v>
      </c>
      <c r="F309" s="365">
        <f t="shared" si="113"/>
        <v>0.15982645600030138</v>
      </c>
      <c r="G309" s="364">
        <f t="shared" si="114"/>
        <v>1.1851787256310171</v>
      </c>
      <c r="H309" s="365">
        <f t="shared" si="115"/>
        <v>-0.56655576272129105</v>
      </c>
      <c r="I309" s="363">
        <f t="shared" si="116"/>
        <v>88688.211645542877</v>
      </c>
      <c r="J309" s="366">
        <f t="shared" si="117"/>
        <v>1.5707850513392136</v>
      </c>
      <c r="K309" s="374">
        <f t="shared" si="133"/>
        <v>27.458723856007204</v>
      </c>
      <c r="L309" s="375">
        <f t="shared" si="134"/>
        <v>1.5343699733335441</v>
      </c>
      <c r="M309" s="363">
        <f t="shared" si="118"/>
        <v>1.3140868555015386</v>
      </c>
      <c r="N309" s="366">
        <f t="shared" si="119"/>
        <v>0.70596675429941025</v>
      </c>
      <c r="O309" s="367">
        <f t="shared" si="120"/>
        <v>1.0584925140566621</v>
      </c>
      <c r="P309" s="368">
        <f t="shared" si="121"/>
        <v>0.41004788984812168</v>
      </c>
      <c r="Q309" s="369">
        <f t="shared" si="122"/>
        <v>-11.072688508517828</v>
      </c>
      <c r="R309" s="370">
        <f t="shared" si="123"/>
        <v>-177.43496110300765</v>
      </c>
      <c r="S309" s="372">
        <f t="shared" si="124"/>
        <v>2.5650388969923483</v>
      </c>
      <c r="U309" s="345">
        <f t="shared" si="130"/>
        <v>21380</v>
      </c>
      <c r="V309" s="345">
        <f t="shared" si="131"/>
        <v>457104400</v>
      </c>
      <c r="X309" s="371">
        <f t="shared" si="125"/>
        <v>15.54048194665944</v>
      </c>
      <c r="Y309" s="372">
        <f t="shared" si="126"/>
        <v>-42.535345826873616</v>
      </c>
      <c r="AA309" s="371">
        <f t="shared" si="127"/>
        <v>30.888054812656733</v>
      </c>
      <c r="AB309" s="372">
        <f t="shared" si="128"/>
        <v>-134.89961527613397</v>
      </c>
      <c r="AD309">
        <f t="shared" si="132"/>
        <v>0</v>
      </c>
      <c r="AE309">
        <f t="shared" si="135"/>
        <v>0</v>
      </c>
    </row>
    <row r="310" spans="1:31" x14ac:dyDescent="0.2">
      <c r="A310" s="373">
        <v>21504.5</v>
      </c>
      <c r="B310" s="390">
        <f t="shared" si="129"/>
        <v>21.5045</v>
      </c>
      <c r="C310" s="363">
        <f t="shared" si="110"/>
        <v>30.364264198272735</v>
      </c>
      <c r="D310" s="364">
        <f t="shared" si="111"/>
        <v>1.5378569197850203</v>
      </c>
      <c r="E310" s="364">
        <f t="shared" si="112"/>
        <v>1.0130594332276641</v>
      </c>
      <c r="F310" s="365">
        <f t="shared" si="113"/>
        <v>0.16074125336855397</v>
      </c>
      <c r="G310" s="364">
        <f t="shared" si="114"/>
        <v>1.1871710206059125</v>
      </c>
      <c r="H310" s="365">
        <f t="shared" si="115"/>
        <v>-0.56918847892084246</v>
      </c>
      <c r="I310" s="363">
        <f t="shared" si="116"/>
        <v>89204.660773160751</v>
      </c>
      <c r="J310" s="366">
        <f t="shared" si="117"/>
        <v>1.5707851166183056</v>
      </c>
      <c r="K310" s="374">
        <f t="shared" si="133"/>
        <v>27.618410018289786</v>
      </c>
      <c r="L310" s="375">
        <f t="shared" si="134"/>
        <v>1.5345806783081224</v>
      </c>
      <c r="M310" s="363">
        <f t="shared" si="118"/>
        <v>1.317313096866519</v>
      </c>
      <c r="N310" s="366">
        <f t="shared" si="119"/>
        <v>0.70883465343855445</v>
      </c>
      <c r="O310" s="367">
        <f t="shared" si="120"/>
        <v>1.0591614132845071</v>
      </c>
      <c r="P310" s="368">
        <f t="shared" si="121"/>
        <v>0.41230415378881152</v>
      </c>
      <c r="Q310" s="369">
        <f t="shared" si="122"/>
        <v>-11.134045519759315</v>
      </c>
      <c r="R310" s="370">
        <f t="shared" si="123"/>
        <v>-177.82589679711481</v>
      </c>
      <c r="S310" s="372">
        <f t="shared" si="124"/>
        <v>2.1741032028851919</v>
      </c>
      <c r="U310" s="345">
        <f t="shared" si="130"/>
        <v>21504.5</v>
      </c>
      <c r="V310" s="345">
        <f t="shared" si="131"/>
        <v>462443520.25</v>
      </c>
      <c r="X310" s="371">
        <f t="shared" si="125"/>
        <v>15.519116674701312</v>
      </c>
      <c r="Y310" s="372">
        <f t="shared" si="126"/>
        <v>-42.687595578240462</v>
      </c>
      <c r="AA310" s="371">
        <f t="shared" si="127"/>
        <v>30.848063073373375</v>
      </c>
      <c r="AB310" s="372">
        <f t="shared" si="128"/>
        <v>-135.13830121887432</v>
      </c>
      <c r="AD310">
        <f t="shared" si="132"/>
        <v>0</v>
      </c>
      <c r="AE310">
        <f t="shared" si="135"/>
        <v>0</v>
      </c>
    </row>
    <row r="311" spans="1:31" x14ac:dyDescent="0.2">
      <c r="A311" s="373">
        <v>21629</v>
      </c>
      <c r="B311" s="390">
        <f t="shared" si="129"/>
        <v>21.629000000000001</v>
      </c>
      <c r="C311" s="363">
        <f t="shared" si="110"/>
        <v>30.539867558782678</v>
      </c>
      <c r="D311" s="364">
        <f t="shared" si="111"/>
        <v>1.5380463883680051</v>
      </c>
      <c r="E311" s="364">
        <f t="shared" si="112"/>
        <v>1.0132100970790889</v>
      </c>
      <c r="F311" s="365">
        <f t="shared" si="113"/>
        <v>0.16165577944208992</v>
      </c>
      <c r="G311" s="364">
        <f t="shared" si="114"/>
        <v>1.1891715164894472</v>
      </c>
      <c r="H311" s="365">
        <f t="shared" si="115"/>
        <v>-0.57181235542890019</v>
      </c>
      <c r="I311" s="363">
        <f t="shared" si="116"/>
        <v>89721.109900779004</v>
      </c>
      <c r="J311" s="366">
        <f t="shared" si="117"/>
        <v>1.5707851811458835</v>
      </c>
      <c r="K311" s="374">
        <f t="shared" si="133"/>
        <v>27.778097392637932</v>
      </c>
      <c r="L311" s="375">
        <f t="shared" si="134"/>
        <v>1.5347889607411949</v>
      </c>
      <c r="M311" s="363">
        <f t="shared" si="118"/>
        <v>1.3205501199357406</v>
      </c>
      <c r="N311" s="366">
        <f t="shared" si="119"/>
        <v>0.71168851597229221</v>
      </c>
      <c r="O311" s="367">
        <f t="shared" si="120"/>
        <v>1.0598338816183781</v>
      </c>
      <c r="P311" s="368">
        <f t="shared" si="121"/>
        <v>0.41455831226918771</v>
      </c>
      <c r="Q311" s="369">
        <f t="shared" si="122"/>
        <v>-11.195113283398971</v>
      </c>
      <c r="R311" s="370">
        <f t="shared" si="123"/>
        <v>-178.21542915189119</v>
      </c>
      <c r="S311" s="372">
        <f t="shared" si="124"/>
        <v>1.7845708481088138</v>
      </c>
      <c r="U311" s="345">
        <f t="shared" si="130"/>
        <v>21629</v>
      </c>
      <c r="V311" s="345">
        <f t="shared" si="131"/>
        <v>467813641</v>
      </c>
      <c r="X311" s="371">
        <f t="shared" si="125"/>
        <v>15.497733729354934</v>
      </c>
      <c r="Y311" s="372">
        <f t="shared" si="126"/>
        <v>-42.83917984970347</v>
      </c>
      <c r="AA311" s="371">
        <f t="shared" si="127"/>
        <v>30.808378255080097</v>
      </c>
      <c r="AB311" s="372">
        <f t="shared" si="128"/>
        <v>-135.37624930218772</v>
      </c>
      <c r="AD311">
        <f t="shared" si="132"/>
        <v>0</v>
      </c>
      <c r="AE311">
        <f t="shared" si="135"/>
        <v>0</v>
      </c>
    </row>
    <row r="312" spans="1:31" x14ac:dyDescent="0.2">
      <c r="A312" s="373">
        <v>21753.5</v>
      </c>
      <c r="B312" s="390">
        <f t="shared" si="129"/>
        <v>21.753499999999999</v>
      </c>
      <c r="C312" s="363">
        <f t="shared" si="110"/>
        <v>30.715472003087608</v>
      </c>
      <c r="D312" s="364">
        <f t="shared" si="111"/>
        <v>1.5382336905234029</v>
      </c>
      <c r="E312" s="364">
        <f t="shared" si="112"/>
        <v>1.013361608084429</v>
      </c>
      <c r="F312" s="365">
        <f t="shared" si="113"/>
        <v>0.16257003281251567</v>
      </c>
      <c r="G312" s="364">
        <f t="shared" si="114"/>
        <v>1.1911801719632278</v>
      </c>
      <c r="H312" s="365">
        <f t="shared" si="115"/>
        <v>-0.57442740074388488</v>
      </c>
      <c r="I312" s="363">
        <f t="shared" si="116"/>
        <v>90237.559028397649</v>
      </c>
      <c r="J312" s="366">
        <f t="shared" si="117"/>
        <v>1.5707852449348509</v>
      </c>
      <c r="K312" s="374">
        <f t="shared" si="133"/>
        <v>27.937785958267792</v>
      </c>
      <c r="L312" s="375">
        <f t="shared" si="134"/>
        <v>1.5349948621552811</v>
      </c>
      <c r="M312" s="363">
        <f t="shared" si="118"/>
        <v>1.3237978456171626</v>
      </c>
      <c r="N312" s="366">
        <f t="shared" si="119"/>
        <v>0.71452839855324823</v>
      </c>
      <c r="O312" s="367">
        <f t="shared" si="120"/>
        <v>1.0605099141977172</v>
      </c>
      <c r="P312" s="368">
        <f t="shared" si="121"/>
        <v>0.41681035799404564</v>
      </c>
      <c r="Q312" s="369">
        <f t="shared" si="122"/>
        <v>-11.255894797645198</v>
      </c>
      <c r="R312" s="370">
        <f t="shared" si="123"/>
        <v>-178.60356134990778</v>
      </c>
      <c r="S312" s="372">
        <f t="shared" si="124"/>
        <v>1.3964386500922217</v>
      </c>
      <c r="U312" s="345">
        <f t="shared" si="130"/>
        <v>21753.5</v>
      </c>
      <c r="V312" s="345">
        <f t="shared" si="131"/>
        <v>473214762.25</v>
      </c>
      <c r="X312" s="371">
        <f t="shared" si="125"/>
        <v>15.476333869456745</v>
      </c>
      <c r="Y312" s="372">
        <f t="shared" si="126"/>
        <v>-42.990099508893117</v>
      </c>
      <c r="AA312" s="371">
        <f t="shared" si="127"/>
        <v>30.768996600732056</v>
      </c>
      <c r="AB312" s="372">
        <f t="shared" si="128"/>
        <v>-135.61346184101467</v>
      </c>
      <c r="AD312">
        <f t="shared" si="132"/>
        <v>0</v>
      </c>
      <c r="AE312">
        <f t="shared" si="135"/>
        <v>0</v>
      </c>
    </row>
    <row r="313" spans="1:31" x14ac:dyDescent="0.2">
      <c r="A313" s="373">
        <v>21878</v>
      </c>
      <c r="B313" s="390">
        <f t="shared" si="129"/>
        <v>21.878</v>
      </c>
      <c r="C313" s="363">
        <f t="shared" si="110"/>
        <v>30.891077512704594</v>
      </c>
      <c r="D313" s="364">
        <f t="shared" si="111"/>
        <v>1.5384188631842211</v>
      </c>
      <c r="E313" s="364">
        <f t="shared" si="112"/>
        <v>1.0135139658637591</v>
      </c>
      <c r="F313" s="365">
        <f t="shared" si="113"/>
        <v>0.16348401207410099</v>
      </c>
      <c r="G313" s="364">
        <f t="shared" si="114"/>
        <v>1.1931969458191234</v>
      </c>
      <c r="H313" s="365">
        <f t="shared" si="115"/>
        <v>-0.57703362379024026</v>
      </c>
      <c r="I313" s="363">
        <f t="shared" si="116"/>
        <v>90754.008156016629</v>
      </c>
      <c r="J313" s="366">
        <f t="shared" si="117"/>
        <v>1.5707853079978171</v>
      </c>
      <c r="K313" s="374">
        <f t="shared" si="133"/>
        <v>28.097475694867857</v>
      </c>
      <c r="L313" s="375">
        <f t="shared" si="134"/>
        <v>1.5351984231297608</v>
      </c>
      <c r="M313" s="363">
        <f t="shared" si="118"/>
        <v>1.3270561953327695</v>
      </c>
      <c r="N313" s="366">
        <f t="shared" si="119"/>
        <v>0.71735435818236426</v>
      </c>
      <c r="O313" s="367">
        <f t="shared" si="120"/>
        <v>1.0611895061495338</v>
      </c>
      <c r="P313" s="368">
        <f t="shared" si="121"/>
        <v>0.41906028373543014</v>
      </c>
      <c r="Q313" s="369">
        <f t="shared" si="122"/>
        <v>-11.316393009966779</v>
      </c>
      <c r="R313" s="370">
        <f t="shared" si="123"/>
        <v>-178.99029662662281</v>
      </c>
      <c r="S313" s="372">
        <f t="shared" si="124"/>
        <v>1.0097033733771923</v>
      </c>
      <c r="U313" s="345">
        <f t="shared" si="130"/>
        <v>21878</v>
      </c>
      <c r="V313" s="345">
        <f t="shared" si="131"/>
        <v>478646884</v>
      </c>
      <c r="X313" s="371">
        <f t="shared" si="125"/>
        <v>15.454917844621816</v>
      </c>
      <c r="Y313" s="372">
        <f t="shared" si="126"/>
        <v>-43.140355497418064</v>
      </c>
      <c r="AA313" s="371">
        <f t="shared" si="127"/>
        <v>30.729914413245403</v>
      </c>
      <c r="AB313" s="372">
        <f t="shared" si="128"/>
        <v>-135.84994112920472</v>
      </c>
      <c r="AD313">
        <f t="shared" si="132"/>
        <v>0</v>
      </c>
      <c r="AE313">
        <f t="shared" si="135"/>
        <v>0</v>
      </c>
    </row>
    <row r="314" spans="1:31" x14ac:dyDescent="0.2">
      <c r="A314" s="373">
        <v>22005.25</v>
      </c>
      <c r="B314" s="390">
        <f t="shared" si="129"/>
        <v>22.00525</v>
      </c>
      <c r="C314" s="363">
        <f t="shared" si="110"/>
        <v>31.070562940944612</v>
      </c>
      <c r="D314" s="364">
        <f t="shared" si="111"/>
        <v>1.5386059630079501</v>
      </c>
      <c r="E314" s="364">
        <f t="shared" si="112"/>
        <v>1.0136705636144085</v>
      </c>
      <c r="F314" s="365">
        <f t="shared" si="113"/>
        <v>0.16441789491445655</v>
      </c>
      <c r="G314" s="364">
        <f t="shared" si="114"/>
        <v>1.1952666134541639</v>
      </c>
      <c r="H314" s="365">
        <f t="shared" si="115"/>
        <v>-0.57968830701649121</v>
      </c>
      <c r="I314" s="363">
        <f t="shared" si="116"/>
        <v>91281.864794487017</v>
      </c>
      <c r="J314" s="366">
        <f t="shared" si="117"/>
        <v>1.5707853717163356</v>
      </c>
      <c r="K314" s="374">
        <f t="shared" si="133"/>
        <v>28.260693904195946</v>
      </c>
      <c r="L314" s="375">
        <f t="shared" si="134"/>
        <v>1.5354041031590349</v>
      </c>
      <c r="M314" s="363">
        <f t="shared" si="118"/>
        <v>1.3303974139950021</v>
      </c>
      <c r="N314" s="366">
        <f t="shared" si="119"/>
        <v>0.72022841064012466</v>
      </c>
      <c r="O314" s="367">
        <f t="shared" si="120"/>
        <v>1.0618877822548423</v>
      </c>
      <c r="P314" s="368">
        <f t="shared" si="121"/>
        <v>0.42135770843685472</v>
      </c>
      <c r="Q314" s="369">
        <f t="shared" si="122"/>
        <v>-11.377937787087602</v>
      </c>
      <c r="R314" s="370">
        <f t="shared" si="123"/>
        <v>-179.38413412508072</v>
      </c>
      <c r="S314" s="372">
        <f t="shared" si="124"/>
        <v>0.61586587491927958</v>
      </c>
      <c r="U314" s="345">
        <f t="shared" si="130"/>
        <v>22005.25</v>
      </c>
      <c r="V314" s="345">
        <f t="shared" si="131"/>
        <v>484231027.5625</v>
      </c>
      <c r="X314" s="371">
        <f t="shared" si="125"/>
        <v>15.433012841322974</v>
      </c>
      <c r="Y314" s="372">
        <f t="shared" si="126"/>
        <v>-43.293245626716285</v>
      </c>
      <c r="AA314" s="371">
        <f t="shared" si="127"/>
        <v>30.690274639423428</v>
      </c>
      <c r="AB314" s="372">
        <f t="shared" si="128"/>
        <v>-136.09088849836436</v>
      </c>
      <c r="AD314">
        <f t="shared" si="132"/>
        <v>0</v>
      </c>
      <c r="AE314">
        <f t="shared" si="135"/>
        <v>0</v>
      </c>
    </row>
    <row r="315" spans="1:31" x14ac:dyDescent="0.2">
      <c r="A315" s="373">
        <v>22132.5</v>
      </c>
      <c r="B315" s="390">
        <f t="shared" si="129"/>
        <v>22.1325</v>
      </c>
      <c r="C315" s="363">
        <f t="shared" si="110"/>
        <v>31.250049444357341</v>
      </c>
      <c r="D315" s="364">
        <f t="shared" si="111"/>
        <v>1.5387909136003306</v>
      </c>
      <c r="E315" s="364">
        <f t="shared" si="112"/>
        <v>1.0138280451512673</v>
      </c>
      <c r="F315" s="365">
        <f t="shared" si="113"/>
        <v>0.16535148844209901</v>
      </c>
      <c r="G315" s="364">
        <f t="shared" si="114"/>
        <v>1.1973446753877972</v>
      </c>
      <c r="H315" s="365">
        <f t="shared" si="115"/>
        <v>-0.58233379411561925</v>
      </c>
      <c r="I315" s="363">
        <f t="shared" si="116"/>
        <v>91809.721432957755</v>
      </c>
      <c r="J315" s="366">
        <f t="shared" si="117"/>
        <v>1.5707854347021595</v>
      </c>
      <c r="K315" s="374">
        <f t="shared" si="133"/>
        <v>28.423913295341805</v>
      </c>
      <c r="L315" s="375">
        <f t="shared" si="134"/>
        <v>1.5356074210330541</v>
      </c>
      <c r="M315" s="363">
        <f t="shared" si="118"/>
        <v>1.3337495668638741</v>
      </c>
      <c r="N315" s="366">
        <f t="shared" si="119"/>
        <v>0.72308803973539848</v>
      </c>
      <c r="O315" s="367">
        <f t="shared" si="120"/>
        <v>1.062589766377996</v>
      </c>
      <c r="P315" s="368">
        <f t="shared" si="121"/>
        <v>0.42365290341299705</v>
      </c>
      <c r="Q315" s="369">
        <f t="shared" si="122"/>
        <v>-11.439192678029855</v>
      </c>
      <c r="R315" s="370">
        <f t="shared" si="123"/>
        <v>-179.77651930667815</v>
      </c>
      <c r="S315" s="372">
        <f t="shared" si="124"/>
        <v>0.2234806933218465</v>
      </c>
      <c r="U315" s="345">
        <f t="shared" si="130"/>
        <v>22132.5</v>
      </c>
      <c r="V315" s="345">
        <f t="shared" si="131"/>
        <v>489847556.25</v>
      </c>
      <c r="X315" s="371">
        <f t="shared" si="125"/>
        <v>15.411092505276789</v>
      </c>
      <c r="Y315" s="372">
        <f t="shared" si="126"/>
        <v>-43.445444657763225</v>
      </c>
      <c r="AA315" s="371">
        <f t="shared" si="127"/>
        <v>30.650940084527356</v>
      </c>
      <c r="AB315" s="372">
        <f t="shared" si="128"/>
        <v>-136.33107464891495</v>
      </c>
      <c r="AD315">
        <f t="shared" si="132"/>
        <v>0</v>
      </c>
      <c r="AE315">
        <f t="shared" si="135"/>
        <v>0</v>
      </c>
    </row>
    <row r="316" spans="1:31" x14ac:dyDescent="0.2">
      <c r="A316" s="373">
        <v>22259.75</v>
      </c>
      <c r="B316" s="390">
        <f t="shared" si="129"/>
        <v>22.25975</v>
      </c>
      <c r="C316" s="363">
        <f t="shared" si="110"/>
        <v>31.429537004522629</v>
      </c>
      <c r="D316" s="364">
        <f t="shared" si="111"/>
        <v>1.5389737517700419</v>
      </c>
      <c r="E316" s="364">
        <f t="shared" si="112"/>
        <v>1.0139864100625549</v>
      </c>
      <c r="F316" s="365">
        <f t="shared" si="113"/>
        <v>0.16628479116477368</v>
      </c>
      <c r="G316" s="364">
        <f t="shared" si="114"/>
        <v>1.1994310879896586</v>
      </c>
      <c r="H316" s="365">
        <f t="shared" si="115"/>
        <v>-0.58497009595238736</v>
      </c>
      <c r="I316" s="363">
        <f t="shared" si="116"/>
        <v>92337.57807142887</v>
      </c>
      <c r="J316" s="366">
        <f t="shared" si="117"/>
        <v>1.5707854969678543</v>
      </c>
      <c r="K316" s="374">
        <f t="shared" si="133"/>
        <v>28.587133848062518</v>
      </c>
      <c r="L316" s="375">
        <f t="shared" si="134"/>
        <v>1.5358084171956128</v>
      </c>
      <c r="M316" s="363">
        <f t="shared" si="118"/>
        <v>1.337112571702934</v>
      </c>
      <c r="N316" s="366">
        <f t="shared" si="119"/>
        <v>0.72593330735302442</v>
      </c>
      <c r="O316" s="367">
        <f t="shared" si="120"/>
        <v>1.0632954532769709</v>
      </c>
      <c r="P316" s="368">
        <f t="shared" si="121"/>
        <v>0.42594586116384442</v>
      </c>
      <c r="Q316" s="369">
        <f t="shared" si="122"/>
        <v>-11.500160673453477</v>
      </c>
      <c r="R316" s="370">
        <f t="shared" si="123"/>
        <v>-180.16745578788451</v>
      </c>
      <c r="S316" s="372">
        <f t="shared" si="124"/>
        <v>-0.16745578788450644</v>
      </c>
      <c r="U316" s="345">
        <f t="shared" si="130"/>
        <v>22259.75</v>
      </c>
      <c r="V316" s="345">
        <f t="shared" si="131"/>
        <v>495496470.0625</v>
      </c>
      <c r="X316" s="371">
        <f t="shared" si="125"/>
        <v>15.389157607277113</v>
      </c>
      <c r="Y316" s="372">
        <f t="shared" si="126"/>
        <v>-43.596953819760124</v>
      </c>
      <c r="AA316" s="371">
        <f t="shared" si="127"/>
        <v>30.61190698710341</v>
      </c>
      <c r="AB316" s="372">
        <f t="shared" si="128"/>
        <v>-136.57050196812435</v>
      </c>
      <c r="AD316">
        <f t="shared" si="132"/>
        <v>0</v>
      </c>
      <c r="AE316">
        <f t="shared" si="135"/>
        <v>0</v>
      </c>
    </row>
    <row r="317" spans="1:31" x14ac:dyDescent="0.2">
      <c r="A317" s="373">
        <v>22387</v>
      </c>
      <c r="B317" s="390">
        <f t="shared" si="129"/>
        <v>22.387</v>
      </c>
      <c r="C317" s="363">
        <f t="shared" si="110"/>
        <v>31.609025603438592</v>
      </c>
      <c r="D317" s="364">
        <f t="shared" si="111"/>
        <v>1.5391545134902784</v>
      </c>
      <c r="E317" s="364">
        <f t="shared" si="112"/>
        <v>1.0141456579344383</v>
      </c>
      <c r="F317" s="365">
        <f t="shared" si="113"/>
        <v>0.1672178015931817</v>
      </c>
      <c r="G317" s="364">
        <f t="shared" si="114"/>
        <v>1.2015258077577133</v>
      </c>
      <c r="H317" s="365">
        <f t="shared" si="115"/>
        <v>-0.58759722382694946</v>
      </c>
      <c r="I317" s="363">
        <f t="shared" si="116"/>
        <v>92865.434709900335</v>
      </c>
      <c r="J317" s="366">
        <f t="shared" si="117"/>
        <v>1.5707855585257</v>
      </c>
      <c r="K317" s="374">
        <f t="shared" si="133"/>
        <v>28.750355542574731</v>
      </c>
      <c r="L317" s="375">
        <f t="shared" si="134"/>
        <v>1.5360071311728343</v>
      </c>
      <c r="M317" s="363">
        <f t="shared" si="118"/>
        <v>1.3404863468360932</v>
      </c>
      <c r="N317" s="366">
        <f t="shared" si="119"/>
        <v>0.72876427568794366</v>
      </c>
      <c r="O317" s="367">
        <f t="shared" si="120"/>
        <v>1.0640048376970688</v>
      </c>
      <c r="P317" s="368">
        <f t="shared" si="121"/>
        <v>0.42823657426260159</v>
      </c>
      <c r="Q317" s="369">
        <f t="shared" si="122"/>
        <v>-11.560844713815898</v>
      </c>
      <c r="R317" s="370">
        <f t="shared" si="123"/>
        <v>-180.55694723660059</v>
      </c>
      <c r="S317" s="372">
        <f t="shared" si="124"/>
        <v>-0.55694723660059253</v>
      </c>
      <c r="U317" s="345">
        <f t="shared" si="130"/>
        <v>22387</v>
      </c>
      <c r="V317" s="345">
        <f t="shared" si="131"/>
        <v>501177769</v>
      </c>
      <c r="X317" s="371">
        <f t="shared" si="125"/>
        <v>15.367208908240586</v>
      </c>
      <c r="Y317" s="372">
        <f t="shared" si="126"/>
        <v>-43.747774412238229</v>
      </c>
      <c r="AA317" s="371">
        <f t="shared" si="127"/>
        <v>30.573171645777517</v>
      </c>
      <c r="AB317" s="372">
        <f t="shared" si="128"/>
        <v>-136.80917282436235</v>
      </c>
      <c r="AD317">
        <f t="shared" si="132"/>
        <v>0</v>
      </c>
      <c r="AE317">
        <f t="shared" si="135"/>
        <v>0</v>
      </c>
    </row>
    <row r="318" spans="1:31" x14ac:dyDescent="0.2">
      <c r="A318" s="373">
        <v>22517.5</v>
      </c>
      <c r="B318" s="390">
        <f t="shared" si="129"/>
        <v>22.517499999999998</v>
      </c>
      <c r="C318" s="363">
        <f t="shared" si="110"/>
        <v>31.793099450995332</v>
      </c>
      <c r="D318" s="364">
        <f t="shared" si="111"/>
        <v>1.5393377720636023</v>
      </c>
      <c r="E318" s="364">
        <f t="shared" si="112"/>
        <v>1.0143098896802931</v>
      </c>
      <c r="F318" s="365">
        <f t="shared" si="113"/>
        <v>0.16817433622016184</v>
      </c>
      <c r="G318" s="364">
        <f t="shared" si="114"/>
        <v>1.2036826099411864</v>
      </c>
      <c r="H318" s="365">
        <f t="shared" si="115"/>
        <v>-0.59028193314526445</v>
      </c>
      <c r="I318" s="363">
        <f t="shared" si="116"/>
        <v>93406.772952105224</v>
      </c>
      <c r="J318" s="366">
        <f t="shared" si="117"/>
        <v>1.5707856209331221</v>
      </c>
      <c r="K318" s="374">
        <f t="shared" si="133"/>
        <v>28.917747129713216</v>
      </c>
      <c r="L318" s="375">
        <f t="shared" si="134"/>
        <v>1.5362085904613594</v>
      </c>
      <c r="M318" s="363">
        <f t="shared" si="118"/>
        <v>1.3439573905716469</v>
      </c>
      <c r="N318" s="366">
        <f t="shared" si="119"/>
        <v>0.73165276143184965</v>
      </c>
      <c r="O318" s="367">
        <f t="shared" si="120"/>
        <v>1.0647361748537012</v>
      </c>
      <c r="P318" s="368">
        <f t="shared" si="121"/>
        <v>0.43058345372393558</v>
      </c>
      <c r="Q318" s="369">
        <f t="shared" si="122"/>
        <v>-11.62278674357718</v>
      </c>
      <c r="R318" s="370">
        <f t="shared" si="123"/>
        <v>-180.95488943511683</v>
      </c>
      <c r="S318" s="372">
        <f t="shared" si="124"/>
        <v>-0.95488943511682578</v>
      </c>
      <c r="U318" s="345">
        <f t="shared" si="130"/>
        <v>22517.5</v>
      </c>
      <c r="V318" s="345">
        <f t="shared" si="131"/>
        <v>507037806.25</v>
      </c>
      <c r="X318" s="371">
        <f t="shared" si="125"/>
        <v>15.344686085819866</v>
      </c>
      <c r="Y318" s="372">
        <f t="shared" si="126"/>
        <v>-43.901733263429364</v>
      </c>
      <c r="AA318" s="371">
        <f t="shared" si="127"/>
        <v>30.533752438436956</v>
      </c>
      <c r="AB318" s="372">
        <f t="shared" si="128"/>
        <v>-137.05315617168739</v>
      </c>
      <c r="AD318">
        <f t="shared" si="132"/>
        <v>0</v>
      </c>
      <c r="AE318">
        <f t="shared" si="135"/>
        <v>0</v>
      </c>
    </row>
    <row r="319" spans="1:31" x14ac:dyDescent="0.2">
      <c r="A319" s="373">
        <v>22648</v>
      </c>
      <c r="B319" s="390">
        <f t="shared" si="129"/>
        <v>22.648</v>
      </c>
      <c r="C319" s="363">
        <f t="shared" si="110"/>
        <v>31.977174353989522</v>
      </c>
      <c r="D319" s="364">
        <f t="shared" si="111"/>
        <v>1.5395189208064954</v>
      </c>
      <c r="E319" s="364">
        <f t="shared" si="112"/>
        <v>1.0144750491766188</v>
      </c>
      <c r="F319" s="365">
        <f t="shared" si="113"/>
        <v>0.16913056026855725</v>
      </c>
      <c r="G319" s="364">
        <f t="shared" si="114"/>
        <v>1.2058480567930432</v>
      </c>
      <c r="H319" s="365">
        <f t="shared" si="115"/>
        <v>-0.59295701935233813</v>
      </c>
      <c r="I319" s="363">
        <f t="shared" si="116"/>
        <v>93948.111194310462</v>
      </c>
      <c r="J319" s="366">
        <f t="shared" si="117"/>
        <v>1.5707856826213491</v>
      </c>
      <c r="K319" s="374">
        <f t="shared" si="133"/>
        <v>29.085139876993612</v>
      </c>
      <c r="L319" s="375">
        <f t="shared" si="134"/>
        <v>1.5364077308538777</v>
      </c>
      <c r="M319" s="363">
        <f t="shared" si="118"/>
        <v>1.3474395895889588</v>
      </c>
      <c r="N319" s="366">
        <f t="shared" si="119"/>
        <v>0.73452634157394137</v>
      </c>
      <c r="O319" s="367">
        <f t="shared" si="120"/>
        <v>1.0654713895806247</v>
      </c>
      <c r="P319" s="368">
        <f t="shared" si="121"/>
        <v>0.43292795682545515</v>
      </c>
      <c r="Q319" s="369">
        <f t="shared" si="122"/>
        <v>-11.684436235797191</v>
      </c>
      <c r="R319" s="370">
        <f t="shared" si="123"/>
        <v>-181.35131981871865</v>
      </c>
      <c r="S319" s="372">
        <f t="shared" si="124"/>
        <v>-1.3513198187186504</v>
      </c>
      <c r="U319" s="345">
        <f t="shared" si="130"/>
        <v>22648</v>
      </c>
      <c r="V319" s="345">
        <f t="shared" si="131"/>
        <v>512931904</v>
      </c>
      <c r="X319" s="371">
        <f t="shared" si="125"/>
        <v>15.322150337751253</v>
      </c>
      <c r="Y319" s="372">
        <f t="shared" si="126"/>
        <v>-44.054970908292098</v>
      </c>
      <c r="AA319" s="371">
        <f t="shared" si="127"/>
        <v>30.494638694285555</v>
      </c>
      <c r="AB319" s="372">
        <f t="shared" si="128"/>
        <v>-137.29634891042659</v>
      </c>
      <c r="AD319">
        <f t="shared" si="132"/>
        <v>0</v>
      </c>
      <c r="AE319">
        <f t="shared" si="135"/>
        <v>0</v>
      </c>
    </row>
    <row r="320" spans="1:31" x14ac:dyDescent="0.2">
      <c r="A320" s="373">
        <v>22778.5</v>
      </c>
      <c r="B320" s="390">
        <f t="shared" si="129"/>
        <v>22.778500000000001</v>
      </c>
      <c r="C320" s="363">
        <f t="shared" si="110"/>
        <v>32.161250294298767</v>
      </c>
      <c r="D320" s="364">
        <f t="shared" si="111"/>
        <v>1.5396979959340111</v>
      </c>
      <c r="E320" s="364">
        <f t="shared" si="112"/>
        <v>1.0146411359703682</v>
      </c>
      <c r="F320" s="365">
        <f t="shared" si="113"/>
        <v>0.17008647214178671</v>
      </c>
      <c r="G320" s="364">
        <f t="shared" si="114"/>
        <v>1.2080221018251374</v>
      </c>
      <c r="H320" s="365">
        <f t="shared" si="115"/>
        <v>-0.59562249601467854</v>
      </c>
      <c r="I320" s="363">
        <f t="shared" si="116"/>
        <v>94489.449436516079</v>
      </c>
      <c r="J320" s="366">
        <f t="shared" si="117"/>
        <v>1.5707857436027415</v>
      </c>
      <c r="K320" s="374">
        <f t="shared" si="133"/>
        <v>29.252533764499773</v>
      </c>
      <c r="L320" s="375">
        <f t="shared" si="134"/>
        <v>1.5366045921432159</v>
      </c>
      <c r="M320" s="363">
        <f t="shared" si="118"/>
        <v>1.3509328576256145</v>
      </c>
      <c r="N320" s="366">
        <f t="shared" si="119"/>
        <v>0.73738508410345971</v>
      </c>
      <c r="O320" s="367">
        <f t="shared" si="120"/>
        <v>1.0662104761700999</v>
      </c>
      <c r="P320" s="368">
        <f t="shared" si="121"/>
        <v>0.4352700757962113</v>
      </c>
      <c r="Q320" s="369">
        <f t="shared" si="122"/>
        <v>-11.745796205363595</v>
      </c>
      <c r="R320" s="370">
        <f t="shared" si="123"/>
        <v>-181.7462425021582</v>
      </c>
      <c r="S320" s="372">
        <f t="shared" si="124"/>
        <v>-1.7462425021581964</v>
      </c>
      <c r="U320" s="345">
        <f t="shared" si="130"/>
        <v>22778.5</v>
      </c>
      <c r="V320" s="345">
        <f t="shared" si="131"/>
        <v>518860062.25</v>
      </c>
      <c r="X320" s="371">
        <f t="shared" si="125"/>
        <v>15.299602452744143</v>
      </c>
      <c r="Y320" s="372">
        <f t="shared" si="126"/>
        <v>-44.207488963070148</v>
      </c>
      <c r="AA320" s="371">
        <f t="shared" si="127"/>
        <v>30.455826609726266</v>
      </c>
      <c r="AB320" s="372">
        <f t="shared" si="128"/>
        <v>-137.53875353908808</v>
      </c>
      <c r="AD320">
        <f t="shared" si="132"/>
        <v>0</v>
      </c>
      <c r="AE320">
        <f t="shared" si="135"/>
        <v>0</v>
      </c>
    </row>
    <row r="321" spans="1:31" x14ac:dyDescent="0.2">
      <c r="A321" s="373">
        <v>22909</v>
      </c>
      <c r="B321" s="390">
        <f t="shared" si="129"/>
        <v>22.908999999999999</v>
      </c>
      <c r="C321" s="363">
        <f t="shared" si="110"/>
        <v>32.345327254213139</v>
      </c>
      <c r="D321" s="364">
        <f t="shared" si="111"/>
        <v>1.5398750328373427</v>
      </c>
      <c r="E321" s="364">
        <f t="shared" si="112"/>
        <v>1.0148081496062478</v>
      </c>
      <c r="F321" s="365">
        <f t="shared" si="113"/>
        <v>0.17104207024659329</v>
      </c>
      <c r="G321" s="364">
        <f t="shared" si="114"/>
        <v>1.2102046986994466</v>
      </c>
      <c r="H321" s="365">
        <f t="shared" si="115"/>
        <v>-0.59827837714768972</v>
      </c>
      <c r="I321" s="363">
        <f t="shared" si="116"/>
        <v>95030.787678722016</v>
      </c>
      <c r="J321" s="366">
        <f t="shared" si="117"/>
        <v>1.5707858038893789</v>
      </c>
      <c r="K321" s="374">
        <f t="shared" si="133"/>
        <v>29.419928772768674</v>
      </c>
      <c r="L321" s="375">
        <f t="shared" si="134"/>
        <v>1.5367992132172557</v>
      </c>
      <c r="M321" s="363">
        <f t="shared" si="118"/>
        <v>1.3544371090363305</v>
      </c>
      <c r="N321" s="366">
        <f t="shared" si="119"/>
        <v>0.74022905727943311</v>
      </c>
      <c r="O321" s="367">
        <f t="shared" si="120"/>
        <v>1.0669534289013702</v>
      </c>
      <c r="P321" s="368">
        <f t="shared" si="121"/>
        <v>0.43760980294596091</v>
      </c>
      <c r="Q321" s="369">
        <f t="shared" si="122"/>
        <v>-11.806869616806344</v>
      </c>
      <c r="R321" s="370">
        <f t="shared" si="123"/>
        <v>-182.13966165042822</v>
      </c>
      <c r="S321" s="372">
        <f t="shared" si="124"/>
        <v>-2.1396616504282235</v>
      </c>
      <c r="U321" s="345">
        <f t="shared" si="130"/>
        <v>22909</v>
      </c>
      <c r="V321" s="345">
        <f t="shared" si="131"/>
        <v>524822281</v>
      </c>
      <c r="X321" s="371">
        <f t="shared" si="125"/>
        <v>15.277043208831497</v>
      </c>
      <c r="Y321" s="372">
        <f t="shared" si="126"/>
        <v>-44.359289111298409</v>
      </c>
      <c r="AA321" s="371">
        <f t="shared" si="127"/>
        <v>30.41731244219616</v>
      </c>
      <c r="AB321" s="372">
        <f t="shared" si="128"/>
        <v>-137.78037253912979</v>
      </c>
      <c r="AD321">
        <f t="shared" si="132"/>
        <v>0</v>
      </c>
      <c r="AE321">
        <f t="shared" si="135"/>
        <v>0</v>
      </c>
    </row>
    <row r="322" spans="1:31" x14ac:dyDescent="0.2">
      <c r="A322" s="373">
        <v>23042.25</v>
      </c>
      <c r="B322" s="390">
        <f t="shared" si="129"/>
        <v>23.042249999999999</v>
      </c>
      <c r="C322" s="363">
        <f t="shared" si="110"/>
        <v>32.533284264601086</v>
      </c>
      <c r="D322" s="364">
        <f t="shared" si="111"/>
        <v>1.5400537332381374</v>
      </c>
      <c r="E322" s="364">
        <f t="shared" si="112"/>
        <v>1.0149796385557877</v>
      </c>
      <c r="F322" s="365">
        <f t="shared" si="113"/>
        <v>0.17201748006812395</v>
      </c>
      <c r="G322" s="364">
        <f t="shared" si="114"/>
        <v>1.2124420650622925</v>
      </c>
      <c r="H322" s="365">
        <f t="shared" si="115"/>
        <v>-0.60098033918115934</v>
      </c>
      <c r="I322" s="363">
        <f t="shared" si="116"/>
        <v>95583.53343177939</v>
      </c>
      <c r="J322" s="366">
        <f t="shared" si="117"/>
        <v>1.57078586474182</v>
      </c>
      <c r="K322" s="374">
        <f t="shared" si="133"/>
        <v>29.590852398729023</v>
      </c>
      <c r="L322" s="375">
        <f t="shared" si="134"/>
        <v>1.5369956634667075</v>
      </c>
      <c r="M322" s="363">
        <f t="shared" si="118"/>
        <v>1.3580264494651342</v>
      </c>
      <c r="N322" s="366">
        <f t="shared" si="119"/>
        <v>0.74311779263433086</v>
      </c>
      <c r="O322" s="367">
        <f t="shared" si="120"/>
        <v>1.0677160209728596</v>
      </c>
      <c r="P322" s="368">
        <f t="shared" si="121"/>
        <v>0.4399963588286589</v>
      </c>
      <c r="Q322" s="369">
        <f t="shared" si="122"/>
        <v>-11.86893736527654</v>
      </c>
      <c r="R322" s="370">
        <f t="shared" si="123"/>
        <v>-182.53982422452808</v>
      </c>
      <c r="S322" s="372">
        <f t="shared" si="124"/>
        <v>-2.5398242245280755</v>
      </c>
      <c r="U322" s="345">
        <f t="shared" si="130"/>
        <v>23042.25</v>
      </c>
      <c r="V322" s="345">
        <f t="shared" si="131"/>
        <v>530945285.0625</v>
      </c>
      <c r="X322" s="371">
        <f t="shared" si="125"/>
        <v>15.253997655436724</v>
      </c>
      <c r="Y322" s="372">
        <f t="shared" si="126"/>
        <v>-44.513549171850705</v>
      </c>
      <c r="AA322" s="371">
        <f t="shared" si="127"/>
        <v>30.378290247120741</v>
      </c>
      <c r="AB322" s="372">
        <f t="shared" si="128"/>
        <v>-138.02627505267739</v>
      </c>
      <c r="AD322">
        <f t="shared" si="132"/>
        <v>0</v>
      </c>
      <c r="AE322">
        <f t="shared" si="135"/>
        <v>0</v>
      </c>
    </row>
    <row r="323" spans="1:31" x14ac:dyDescent="0.2">
      <c r="A323" s="373">
        <v>23175.5</v>
      </c>
      <c r="B323" s="390">
        <f t="shared" si="129"/>
        <v>23.1755</v>
      </c>
      <c r="C323" s="363">
        <f t="shared" si="110"/>
        <v>32.721242301966072</v>
      </c>
      <c r="D323" s="364">
        <f t="shared" si="111"/>
        <v>1.5402303806554367</v>
      </c>
      <c r="E323" s="364">
        <f t="shared" si="112"/>
        <v>1.0151520928548421</v>
      </c>
      <c r="F323" s="365">
        <f t="shared" si="113"/>
        <v>0.17299255941136332</v>
      </c>
      <c r="G323" s="364">
        <f t="shared" si="114"/>
        <v>1.2146882503328256</v>
      </c>
      <c r="H323" s="365">
        <f t="shared" si="115"/>
        <v>-0.60367232794321302</v>
      </c>
      <c r="I323" s="363">
        <f t="shared" si="116"/>
        <v>96136.279184837127</v>
      </c>
      <c r="J323" s="366">
        <f t="shared" si="117"/>
        <v>1.570785924894506</v>
      </c>
      <c r="K323" s="374">
        <f t="shared" si="133"/>
        <v>29.761777153563205</v>
      </c>
      <c r="L323" s="375">
        <f t="shared" si="134"/>
        <v>1.5371898572581466</v>
      </c>
      <c r="M323" s="363">
        <f t="shared" si="118"/>
        <v>1.3616270625409361</v>
      </c>
      <c r="N323" s="366">
        <f t="shared" si="119"/>
        <v>0.74599127423085609</v>
      </c>
      <c r="O323" s="367">
        <f t="shared" si="120"/>
        <v>1.0684826317489036</v>
      </c>
      <c r="P323" s="368">
        <f t="shared" si="121"/>
        <v>0.44238040507583293</v>
      </c>
      <c r="Q323" s="369">
        <f t="shared" si="122"/>
        <v>-11.930712442588728</v>
      </c>
      <c r="R323" s="370">
        <f t="shared" si="123"/>
        <v>-182.93842815791547</v>
      </c>
      <c r="S323" s="372">
        <f t="shared" si="124"/>
        <v>-2.9384281579154674</v>
      </c>
      <c r="U323" s="345">
        <f t="shared" si="130"/>
        <v>23175.5</v>
      </c>
      <c r="V323" s="345">
        <f t="shared" si="131"/>
        <v>537103800.25</v>
      </c>
      <c r="X323" s="371">
        <f t="shared" si="125"/>
        <v>15.230941865068623</v>
      </c>
      <c r="Y323" s="372">
        <f t="shared" si="126"/>
        <v>-44.667064501853467</v>
      </c>
      <c r="AA323" s="371">
        <f t="shared" si="127"/>
        <v>30.339570960176651</v>
      </c>
      <c r="AB323" s="372">
        <f t="shared" si="128"/>
        <v>-138.27136365606196</v>
      </c>
      <c r="AD323">
        <f t="shared" si="132"/>
        <v>0</v>
      </c>
      <c r="AE323">
        <f t="shared" si="135"/>
        <v>0</v>
      </c>
    </row>
    <row r="324" spans="1:31" x14ac:dyDescent="0.2">
      <c r="A324" s="373">
        <v>23308.75</v>
      </c>
      <c r="B324" s="390">
        <f t="shared" si="129"/>
        <v>23.30875</v>
      </c>
      <c r="C324" s="363">
        <f t="shared" si="110"/>
        <v>32.909201348711619</v>
      </c>
      <c r="D324" s="364">
        <f t="shared" si="111"/>
        <v>1.5404050102546185</v>
      </c>
      <c r="E324" s="364">
        <f t="shared" si="112"/>
        <v>1.0153255120115134</v>
      </c>
      <c r="F324" s="365">
        <f t="shared" si="113"/>
        <v>0.17396730659101087</v>
      </c>
      <c r="G324" s="364">
        <f t="shared" si="114"/>
        <v>1.2169432056782818</v>
      </c>
      <c r="H324" s="365">
        <f t="shared" si="115"/>
        <v>-0.60635435974999885</v>
      </c>
      <c r="I324" s="363">
        <f t="shared" si="116"/>
        <v>96689.024937895199</v>
      </c>
      <c r="J324" s="366">
        <f t="shared" si="117"/>
        <v>1.5707859843594376</v>
      </c>
      <c r="K324" s="374">
        <f t="shared" si="133"/>
        <v>29.932703017932599</v>
      </c>
      <c r="L324" s="375">
        <f t="shared" si="134"/>
        <v>1.5373818332322162</v>
      </c>
      <c r="M324" s="363">
        <f t="shared" si="118"/>
        <v>1.3652388590739839</v>
      </c>
      <c r="N324" s="366">
        <f t="shared" si="119"/>
        <v>0.74884957549265119</v>
      </c>
      <c r="O324" s="367">
        <f t="shared" si="120"/>
        <v>1.0692532550990443</v>
      </c>
      <c r="P324" s="368">
        <f t="shared" si="121"/>
        <v>0.44476193376064593</v>
      </c>
      <c r="Q324" s="369">
        <f t="shared" si="122"/>
        <v>-11.992197849867434</v>
      </c>
      <c r="R324" s="370">
        <f t="shared" si="123"/>
        <v>-183.33547803625734</v>
      </c>
      <c r="S324" s="372">
        <f t="shared" si="124"/>
        <v>-3.3354780362573422</v>
      </c>
      <c r="U324" s="345">
        <f t="shared" si="130"/>
        <v>23308.75</v>
      </c>
      <c r="V324" s="345">
        <f t="shared" si="131"/>
        <v>543297826.5625</v>
      </c>
      <c r="X324" s="371">
        <f t="shared" si="125"/>
        <v>15.207876631986199</v>
      </c>
      <c r="Y324" s="372">
        <f t="shared" si="126"/>
        <v>-44.819837094913332</v>
      </c>
      <c r="AA324" s="371">
        <f t="shared" si="127"/>
        <v>30.301150785980369</v>
      </c>
      <c r="AB324" s="372">
        <f t="shared" si="128"/>
        <v>-138.515640941344</v>
      </c>
      <c r="AD324">
        <f t="shared" si="132"/>
        <v>0</v>
      </c>
      <c r="AE324">
        <f t="shared" si="135"/>
        <v>0</v>
      </c>
    </row>
    <row r="325" spans="1:31" x14ac:dyDescent="0.2">
      <c r="A325" s="373">
        <v>23442</v>
      </c>
      <c r="B325" s="390">
        <f t="shared" si="129"/>
        <v>23.442</v>
      </c>
      <c r="C325" s="363">
        <f t="shared" si="110"/>
        <v>33.097161387640895</v>
      </c>
      <c r="D325" s="364">
        <f t="shared" si="111"/>
        <v>1.5405776564027382</v>
      </c>
      <c r="E325" s="364">
        <f t="shared" si="112"/>
        <v>1.0154998955314893</v>
      </c>
      <c r="F325" s="365">
        <f t="shared" si="113"/>
        <v>0.17494171992543905</v>
      </c>
      <c r="G325" s="364">
        <f t="shared" si="114"/>
        <v>1.2192068824372064</v>
      </c>
      <c r="H325" s="365">
        <f t="shared" si="115"/>
        <v>-0.60902645137017708</v>
      </c>
      <c r="I325" s="363">
        <f t="shared" si="116"/>
        <v>97241.770690953621</v>
      </c>
      <c r="J325" s="366">
        <f t="shared" si="117"/>
        <v>1.5707860431483431</v>
      </c>
      <c r="K325" s="374">
        <f t="shared" si="133"/>
        <v>30.103629972937661</v>
      </c>
      <c r="L325" s="375">
        <f t="shared" si="134"/>
        <v>1.5375716291526231</v>
      </c>
      <c r="M325" s="363">
        <f t="shared" si="118"/>
        <v>1.3688617505402807</v>
      </c>
      <c r="N325" s="366">
        <f t="shared" si="119"/>
        <v>0.751692770061825</v>
      </c>
      <c r="O325" s="367">
        <f t="shared" si="120"/>
        <v>1.0700278848797782</v>
      </c>
      <c r="P325" s="368">
        <f t="shared" si="121"/>
        <v>0.44714093704357777</v>
      </c>
      <c r="Q325" s="369">
        <f t="shared" si="122"/>
        <v>-12.053396538579719</v>
      </c>
      <c r="R325" s="370">
        <f t="shared" si="123"/>
        <v>-183.73097849294618</v>
      </c>
      <c r="S325" s="372">
        <f t="shared" si="124"/>
        <v>-3.7309784929461784</v>
      </c>
      <c r="U325" s="345">
        <f t="shared" si="130"/>
        <v>23442</v>
      </c>
      <c r="V325" s="345">
        <f t="shared" si="131"/>
        <v>549527364</v>
      </c>
      <c r="X325" s="371">
        <f t="shared" si="125"/>
        <v>15.184802739155213</v>
      </c>
      <c r="Y325" s="372">
        <f t="shared" si="126"/>
        <v>-44.971869007383262</v>
      </c>
      <c r="AA325" s="371">
        <f t="shared" si="127"/>
        <v>30.263025990099067</v>
      </c>
      <c r="AB325" s="372">
        <f t="shared" si="128"/>
        <v>-138.7591094855629</v>
      </c>
      <c r="AD325">
        <f t="shared" si="132"/>
        <v>0</v>
      </c>
      <c r="AE325">
        <f t="shared" si="135"/>
        <v>0</v>
      </c>
    </row>
    <row r="326" spans="1:31" x14ac:dyDescent="0.2">
      <c r="A326" s="373">
        <v>23578.5</v>
      </c>
      <c r="B326" s="390">
        <f t="shared" si="129"/>
        <v>23.578499999999998</v>
      </c>
      <c r="C326" s="363">
        <f t="shared" si="110"/>
        <v>33.289706828974097</v>
      </c>
      <c r="D326" s="364">
        <f t="shared" si="111"/>
        <v>1.5407524919347433</v>
      </c>
      <c r="E326" s="364">
        <f t="shared" si="112"/>
        <v>1.0156795317205367</v>
      </c>
      <c r="F326" s="365">
        <f t="shared" si="113"/>
        <v>0.17593955152643856</v>
      </c>
      <c r="G326" s="364">
        <f t="shared" si="114"/>
        <v>1.2215347632238178</v>
      </c>
      <c r="H326" s="365">
        <f t="shared" si="115"/>
        <v>-0.61175342714320924</v>
      </c>
      <c r="I326" s="363">
        <f t="shared" si="116"/>
        <v>97807.99804774551</v>
      </c>
      <c r="J326" s="366">
        <f t="shared" si="117"/>
        <v>1.5707861026821452</v>
      </c>
      <c r="K326" s="374">
        <f t="shared" si="133"/>
        <v>30.278726989618931</v>
      </c>
      <c r="L326" s="375">
        <f t="shared" si="134"/>
        <v>1.537763832360409</v>
      </c>
      <c r="M326" s="363">
        <f t="shared" si="118"/>
        <v>1.3725844175218536</v>
      </c>
      <c r="N326" s="366">
        <f t="shared" si="119"/>
        <v>0.75458972416005987</v>
      </c>
      <c r="O326" s="367">
        <f t="shared" si="120"/>
        <v>1.0708255558334914</v>
      </c>
      <c r="P326" s="368">
        <f t="shared" si="121"/>
        <v>0.44957533814798639</v>
      </c>
      <c r="Q326" s="369">
        <f t="shared" si="122"/>
        <v>-12.115793618920261</v>
      </c>
      <c r="R326" s="370">
        <f t="shared" si="123"/>
        <v>-184.1345236253444</v>
      </c>
      <c r="S326" s="372">
        <f t="shared" si="124"/>
        <v>-4.1345236253444</v>
      </c>
      <c r="U326" s="345">
        <f t="shared" si="130"/>
        <v>23578.5</v>
      </c>
      <c r="V326" s="345">
        <f t="shared" si="131"/>
        <v>555945662.25</v>
      </c>
      <c r="X326" s="371">
        <f t="shared" si="125"/>
        <v>15.161157895961207</v>
      </c>
      <c r="Y326" s="372">
        <f t="shared" si="126"/>
        <v>-45.126843229252934</v>
      </c>
      <c r="AA326" s="371">
        <f t="shared" si="127"/>
        <v>30.224273752952534</v>
      </c>
      <c r="AB326" s="372">
        <f t="shared" si="128"/>
        <v>-139.00768039609144</v>
      </c>
      <c r="AD326">
        <f t="shared" si="132"/>
        <v>0</v>
      </c>
      <c r="AE326">
        <f t="shared" si="135"/>
        <v>0</v>
      </c>
    </row>
    <row r="327" spans="1:31" x14ac:dyDescent="0.2">
      <c r="A327" s="373">
        <v>23715</v>
      </c>
      <c r="B327" s="390">
        <f t="shared" si="129"/>
        <v>23.715</v>
      </c>
      <c r="C327" s="363">
        <f t="shared" si="110"/>
        <v>33.482253276185624</v>
      </c>
      <c r="D327" s="364">
        <f t="shared" si="111"/>
        <v>1.5409253166180363</v>
      </c>
      <c r="E327" s="364">
        <f t="shared" si="112"/>
        <v>1.015860178830855</v>
      </c>
      <c r="F327" s="365">
        <f t="shared" si="113"/>
        <v>0.17693702923800703</v>
      </c>
      <c r="G327" s="364">
        <f t="shared" si="114"/>
        <v>1.2238716932324154</v>
      </c>
      <c r="H327" s="365">
        <f t="shared" si="115"/>
        <v>-0.61447000896935366</v>
      </c>
      <c r="I327" s="363">
        <f t="shared" si="116"/>
        <v>98374.225404537749</v>
      </c>
      <c r="J327" s="366">
        <f t="shared" si="117"/>
        <v>1.5707861615306122</v>
      </c>
      <c r="K327" s="374">
        <f t="shared" si="133"/>
        <v>30.453825111996615</v>
      </c>
      <c r="L327" s="375">
        <f t="shared" si="134"/>
        <v>1.5379538253818013</v>
      </c>
      <c r="M327" s="363">
        <f t="shared" si="118"/>
        <v>1.376318541332233</v>
      </c>
      <c r="N327" s="366">
        <f t="shared" si="119"/>
        <v>0.7574709827343763</v>
      </c>
      <c r="O327" s="367">
        <f t="shared" si="120"/>
        <v>1.0716274179451082</v>
      </c>
      <c r="P327" s="368">
        <f t="shared" si="121"/>
        <v>0.45200707278436814</v>
      </c>
      <c r="Q327" s="369">
        <f t="shared" si="122"/>
        <v>-12.17789593914828</v>
      </c>
      <c r="R327" s="370">
        <f t="shared" si="123"/>
        <v>-184.5364528221215</v>
      </c>
      <c r="S327" s="372">
        <f t="shared" si="124"/>
        <v>-4.5364528221215039</v>
      </c>
      <c r="U327" s="345">
        <f t="shared" si="130"/>
        <v>23715</v>
      </c>
      <c r="V327" s="345">
        <f t="shared" si="131"/>
        <v>562401225</v>
      </c>
      <c r="X327" s="371">
        <f t="shared" si="125"/>
        <v>15.137505592764931</v>
      </c>
      <c r="Y327" s="372">
        <f t="shared" si="126"/>
        <v>-45.281044758929426</v>
      </c>
      <c r="AA327" s="371">
        <f t="shared" si="127"/>
        <v>30.185823735920792</v>
      </c>
      <c r="AB327" s="372">
        <f t="shared" si="128"/>
        <v>-139.25540806319214</v>
      </c>
      <c r="AD327">
        <f t="shared" si="132"/>
        <v>0</v>
      </c>
      <c r="AE327">
        <f t="shared" si="135"/>
        <v>0</v>
      </c>
    </row>
    <row r="328" spans="1:31" x14ac:dyDescent="0.2">
      <c r="A328" s="373">
        <v>23851.5</v>
      </c>
      <c r="B328" s="390">
        <f t="shared" si="129"/>
        <v>23.851500000000001</v>
      </c>
      <c r="C328" s="363">
        <f t="shared" si="110"/>
        <v>33.674800712021167</v>
      </c>
      <c r="D328" s="364">
        <f t="shared" si="111"/>
        <v>1.5410961649353936</v>
      </c>
      <c r="E328" s="364">
        <f t="shared" si="112"/>
        <v>1.016041836323234</v>
      </c>
      <c r="F328" s="365">
        <f t="shared" si="113"/>
        <v>0.17793415126453102</v>
      </c>
      <c r="G328" s="364">
        <f t="shared" si="114"/>
        <v>1.2262176207248796</v>
      </c>
      <c r="H328" s="365">
        <f t="shared" si="115"/>
        <v>-0.61717621629387487</v>
      </c>
      <c r="I328" s="363">
        <f t="shared" si="116"/>
        <v>98940.452761330322</v>
      </c>
      <c r="J328" s="366">
        <f t="shared" si="117"/>
        <v>1.57078621970551</v>
      </c>
      <c r="K328" s="374">
        <f t="shared" si="133"/>
        <v>30.628924321107711</v>
      </c>
      <c r="L328" s="375">
        <f t="shared" si="134"/>
        <v>1.5381416461084962</v>
      </c>
      <c r="M328" s="363">
        <f t="shared" si="118"/>
        <v>1.3800640289730906</v>
      </c>
      <c r="N328" s="366">
        <f t="shared" si="119"/>
        <v>0.76033662554498493</v>
      </c>
      <c r="O328" s="367">
        <f t="shared" si="120"/>
        <v>1.0724334645697873</v>
      </c>
      <c r="P328" s="368">
        <f t="shared" si="121"/>
        <v>0.45443613280969186</v>
      </c>
      <c r="Q328" s="369">
        <f t="shared" si="122"/>
        <v>-12.239706517574334</v>
      </c>
      <c r="R328" s="370">
        <f t="shared" si="123"/>
        <v>-184.93677120900986</v>
      </c>
      <c r="S328" s="372">
        <f t="shared" si="124"/>
        <v>-4.9367712090098621</v>
      </c>
      <c r="U328" s="345">
        <f t="shared" si="130"/>
        <v>23851.5</v>
      </c>
      <c r="V328" s="345">
        <f t="shared" si="131"/>
        <v>568894052.25</v>
      </c>
      <c r="X328" s="371">
        <f t="shared" si="125"/>
        <v>15.113846634924622</v>
      </c>
      <c r="Y328" s="372">
        <f t="shared" si="126"/>
        <v>-45.434475995976044</v>
      </c>
      <c r="AA328" s="371">
        <f t="shared" si="127"/>
        <v>30.147672115335048</v>
      </c>
      <c r="AB328" s="372">
        <f t="shared" si="128"/>
        <v>-139.50229521303382</v>
      </c>
      <c r="AD328">
        <f t="shared" si="132"/>
        <v>0</v>
      </c>
      <c r="AE328">
        <f t="shared" si="135"/>
        <v>0</v>
      </c>
    </row>
    <row r="329" spans="1:31" x14ac:dyDescent="0.2">
      <c r="A329" s="373">
        <v>23988</v>
      </c>
      <c r="B329" s="390">
        <f t="shared" si="129"/>
        <v>23.988</v>
      </c>
      <c r="C329" s="363">
        <f t="shared" si="110"/>
        <v>33.86734911961873</v>
      </c>
      <c r="D329" s="364">
        <f t="shared" si="111"/>
        <v>1.541265070585869</v>
      </c>
      <c r="E329" s="364">
        <f t="shared" si="112"/>
        <v>1.0162245036558344</v>
      </c>
      <c r="F329" s="365">
        <f t="shared" si="113"/>
        <v>0.17893091581450643</v>
      </c>
      <c r="G329" s="364">
        <f t="shared" si="114"/>
        <v>1.2285724941598213</v>
      </c>
      <c r="H329" s="365">
        <f t="shared" si="115"/>
        <v>-0.61987206902162739</v>
      </c>
      <c r="I329" s="363">
        <f t="shared" si="116"/>
        <v>99506.680118123229</v>
      </c>
      <c r="J329" s="366">
        <f t="shared" si="117"/>
        <v>1.5707862772183372</v>
      </c>
      <c r="K329" s="374">
        <f t="shared" si="133"/>
        <v>30.804024598420277</v>
      </c>
      <c r="L329" s="375">
        <f t="shared" si="134"/>
        <v>1.538327331571256</v>
      </c>
      <c r="M329" s="363">
        <f t="shared" si="118"/>
        <v>1.3838207881714553</v>
      </c>
      <c r="N329" s="366">
        <f t="shared" si="119"/>
        <v>0.76318673251578462</v>
      </c>
      <c r="O329" s="367">
        <f t="shared" si="120"/>
        <v>1.0732436890495514</v>
      </c>
      <c r="P329" s="368">
        <f t="shared" si="121"/>
        <v>0.45686251017651208</v>
      </c>
      <c r="Q329" s="369">
        <f t="shared" si="122"/>
        <v>-12.301228322877705</v>
      </c>
      <c r="R329" s="370">
        <f t="shared" si="123"/>
        <v>-185.3354839571025</v>
      </c>
      <c r="S329" s="372">
        <f t="shared" si="124"/>
        <v>-5.3354839571024968</v>
      </c>
      <c r="U329" s="345">
        <f t="shared" si="130"/>
        <v>23988</v>
      </c>
      <c r="V329" s="345">
        <f t="shared" si="131"/>
        <v>575424144</v>
      </c>
      <c r="X329" s="371">
        <f t="shared" si="125"/>
        <v>15.09018181574514</v>
      </c>
      <c r="Y329" s="372">
        <f t="shared" si="126"/>
        <v>-45.587139398647317</v>
      </c>
      <c r="AA329" s="371">
        <f t="shared" si="127"/>
        <v>30.109815129211157</v>
      </c>
      <c r="AB329" s="372">
        <f t="shared" si="128"/>
        <v>-139.74834455845519</v>
      </c>
      <c r="AD329">
        <f t="shared" si="132"/>
        <v>0</v>
      </c>
      <c r="AE329">
        <f t="shared" si="135"/>
        <v>0</v>
      </c>
    </row>
    <row r="330" spans="1:31" x14ac:dyDescent="0.2">
      <c r="A330" s="373">
        <v>24127.75</v>
      </c>
      <c r="B330" s="390">
        <f t="shared" si="129"/>
        <v>24.127749999999999</v>
      </c>
      <c r="C330" s="363">
        <f t="shared" si="110"/>
        <v>34.064483002647499</v>
      </c>
      <c r="D330" s="364">
        <f t="shared" si="111"/>
        <v>1.5414360195902994</v>
      </c>
      <c r="E330" s="364">
        <f t="shared" si="112"/>
        <v>1.0164125658342658</v>
      </c>
      <c r="F330" s="365">
        <f t="shared" si="113"/>
        <v>0.17995104064248285</v>
      </c>
      <c r="G330" s="364">
        <f t="shared" si="114"/>
        <v>1.2309926503740942</v>
      </c>
      <c r="H330" s="365">
        <f t="shared" si="115"/>
        <v>-0.62262140263800814</v>
      </c>
      <c r="I330" s="363">
        <f t="shared" si="116"/>
        <v>100086.38907864962</v>
      </c>
      <c r="J330" s="366">
        <f t="shared" si="117"/>
        <v>1.5707863354263476</v>
      </c>
      <c r="K330" s="374">
        <f t="shared" si="133"/>
        <v>30.98329501769739</v>
      </c>
      <c r="L330" s="375">
        <f t="shared" si="134"/>
        <v>1.5385152637774195</v>
      </c>
      <c r="M330" s="363">
        <f t="shared" si="118"/>
        <v>1.3876785757316941</v>
      </c>
      <c r="N330" s="366">
        <f t="shared" si="119"/>
        <v>0.76608868769229266</v>
      </c>
      <c r="O330" s="367">
        <f t="shared" si="120"/>
        <v>1.0740775258708859</v>
      </c>
      <c r="P330" s="368">
        <f t="shared" si="121"/>
        <v>0.45934387090182582</v>
      </c>
      <c r="Q330" s="369">
        <f t="shared" si="122"/>
        <v>-12.363918813835443</v>
      </c>
      <c r="R330" s="370">
        <f t="shared" si="123"/>
        <v>-185.74203187329101</v>
      </c>
      <c r="S330" s="372">
        <f t="shared" si="124"/>
        <v>-5.7420318732910118</v>
      </c>
      <c r="U330" s="345">
        <f t="shared" si="130"/>
        <v>24127.75</v>
      </c>
      <c r="V330" s="345">
        <f t="shared" si="131"/>
        <v>582148320.0625</v>
      </c>
      <c r="X330" s="371">
        <f t="shared" si="125"/>
        <v>15.065948291985812</v>
      </c>
      <c r="Y330" s="372">
        <f t="shared" si="126"/>
        <v>-45.74264479560064</v>
      </c>
      <c r="AA330" s="371">
        <f t="shared" si="127"/>
        <v>30.07135816201275</v>
      </c>
      <c r="AB330" s="372">
        <f t="shared" si="128"/>
        <v>-139.99938707769036</v>
      </c>
      <c r="AD330">
        <f t="shared" si="132"/>
        <v>0</v>
      </c>
      <c r="AE330">
        <f t="shared" si="135"/>
        <v>0</v>
      </c>
    </row>
    <row r="331" spans="1:31" x14ac:dyDescent="0.2">
      <c r="A331" s="373">
        <v>24267.5</v>
      </c>
      <c r="B331" s="390">
        <f t="shared" si="129"/>
        <v>24.267499999999998</v>
      </c>
      <c r="C331" s="363">
        <f t="shared" si="110"/>
        <v>34.261617869706164</v>
      </c>
      <c r="D331" s="364">
        <f t="shared" si="111"/>
        <v>1.5416050013831635</v>
      </c>
      <c r="E331" s="364">
        <f t="shared" si="112"/>
        <v>1.0166016853551905</v>
      </c>
      <c r="F331" s="365">
        <f t="shared" si="113"/>
        <v>0.18097078698146488</v>
      </c>
      <c r="G331" s="364">
        <f t="shared" si="114"/>
        <v>1.2334220749031135</v>
      </c>
      <c r="H331" s="365">
        <f t="shared" si="115"/>
        <v>-0.62535992637103199</v>
      </c>
      <c r="I331" s="363">
        <f t="shared" si="116"/>
        <v>100666.09803917636</v>
      </c>
      <c r="J331" s="366">
        <f t="shared" si="117"/>
        <v>1.5707863929639496</v>
      </c>
      <c r="K331" s="374">
        <f t="shared" si="133"/>
        <v>31.16256651866814</v>
      </c>
      <c r="L331" s="375">
        <f t="shared" si="134"/>
        <v>1.5387010337234621</v>
      </c>
      <c r="M331" s="363">
        <f t="shared" si="118"/>
        <v>1.391547984558307</v>
      </c>
      <c r="N331" s="366">
        <f t="shared" si="119"/>
        <v>0.76897452841193181</v>
      </c>
      <c r="O331" s="367">
        <f t="shared" si="120"/>
        <v>1.0749157276965695</v>
      </c>
      <c r="P331" s="368">
        <f t="shared" si="121"/>
        <v>0.46182240293720472</v>
      </c>
      <c r="Q331" s="369">
        <f t="shared" si="122"/>
        <v>-12.426312760078982</v>
      </c>
      <c r="R331" s="370">
        <f t="shared" si="123"/>
        <v>-186.14690788929101</v>
      </c>
      <c r="S331" s="372">
        <f t="shared" si="124"/>
        <v>-6.1469078892910147</v>
      </c>
      <c r="U331" s="345">
        <f t="shared" si="130"/>
        <v>24267.5</v>
      </c>
      <c r="V331" s="345">
        <f t="shared" si="131"/>
        <v>588911556.25</v>
      </c>
      <c r="X331" s="371">
        <f t="shared" si="125"/>
        <v>15.041710269041438</v>
      </c>
      <c r="Y331" s="372">
        <f t="shared" si="126"/>
        <v>-45.897350752152882</v>
      </c>
      <c r="AA331" s="371">
        <f t="shared" si="127"/>
        <v>30.033202238713585</v>
      </c>
      <c r="AB331" s="372">
        <f t="shared" si="128"/>
        <v>-140.24955713713817</v>
      </c>
      <c r="AD331">
        <f t="shared" si="132"/>
        <v>0</v>
      </c>
      <c r="AE331">
        <f t="shared" si="135"/>
        <v>0</v>
      </c>
    </row>
    <row r="332" spans="1:31" x14ac:dyDescent="0.2">
      <c r="A332" s="373">
        <v>24407.25</v>
      </c>
      <c r="B332" s="390">
        <f t="shared" si="129"/>
        <v>24.407250000000001</v>
      </c>
      <c r="C332" s="363">
        <f t="shared" si="110"/>
        <v>34.458753703906133</v>
      </c>
      <c r="D332" s="364">
        <f t="shared" si="111"/>
        <v>1.5417720497175176</v>
      </c>
      <c r="E332" s="364">
        <f t="shared" si="112"/>
        <v>1.0167918616286227</v>
      </c>
      <c r="F332" s="365">
        <f t="shared" si="113"/>
        <v>0.1819901529224065</v>
      </c>
      <c r="G332" s="364">
        <f t="shared" si="114"/>
        <v>1.2358607130886059</v>
      </c>
      <c r="H332" s="365">
        <f t="shared" si="115"/>
        <v>-0.62808766301594332</v>
      </c>
      <c r="I332" s="363">
        <f t="shared" si="116"/>
        <v>101245.80699970342</v>
      </c>
      <c r="J332" s="366">
        <f t="shared" si="117"/>
        <v>1.5707864498426587</v>
      </c>
      <c r="K332" s="374">
        <f t="shared" si="133"/>
        <v>31.34183908277106</v>
      </c>
      <c r="L332" s="375">
        <f t="shared" si="134"/>
        <v>1.5388846785002634</v>
      </c>
      <c r="M332" s="363">
        <f t="shared" si="118"/>
        <v>1.3954289179768697</v>
      </c>
      <c r="N332" s="366">
        <f t="shared" si="119"/>
        <v>0.77184434085916864</v>
      </c>
      <c r="O332" s="367">
        <f t="shared" si="120"/>
        <v>1.0757582873408731</v>
      </c>
      <c r="P332" s="368">
        <f t="shared" si="121"/>
        <v>0.46429809795690291</v>
      </c>
      <c r="Q332" s="369">
        <f t="shared" si="122"/>
        <v>-12.488413193352129</v>
      </c>
      <c r="R332" s="370">
        <f t="shared" si="123"/>
        <v>-186.55011769094688</v>
      </c>
      <c r="S332" s="372">
        <f t="shared" si="124"/>
        <v>-6.5501176909468768</v>
      </c>
      <c r="U332" s="345">
        <f t="shared" si="130"/>
        <v>24407.25</v>
      </c>
      <c r="V332" s="345">
        <f t="shared" si="131"/>
        <v>595713852.5625</v>
      </c>
      <c r="X332" s="371">
        <f t="shared" si="125"/>
        <v>15.017468559644353</v>
      </c>
      <c r="Y332" s="372">
        <f t="shared" si="126"/>
        <v>-46.051260081819166</v>
      </c>
      <c r="AA332" s="371">
        <f t="shared" si="127"/>
        <v>29.995343514837522</v>
      </c>
      <c r="AB332" s="372">
        <f t="shared" si="128"/>
        <v>-140.49885760912773</v>
      </c>
      <c r="AD332">
        <f t="shared" si="132"/>
        <v>0</v>
      </c>
      <c r="AE332">
        <f t="shared" si="135"/>
        <v>0</v>
      </c>
    </row>
    <row r="333" spans="1:31" x14ac:dyDescent="0.2">
      <c r="A333" s="373">
        <v>24547</v>
      </c>
      <c r="B333" s="390">
        <f t="shared" si="129"/>
        <v>24.547000000000001</v>
      </c>
      <c r="C333" s="363">
        <f t="shared" ref="C333:C396" si="136">SQRT(1+(A333/pole1)^2)</f>
        <v>34.655890488743033</v>
      </c>
      <c r="D333" s="364">
        <f t="shared" ref="D333:D396" si="137">ATAN(A333/pole1)</f>
        <v>1.5419371975788505</v>
      </c>
      <c r="E333" s="364">
        <f t="shared" ref="E333:E396" si="138">SQRT(1+(A333/Zero1)^2)</f>
        <v>1.0169830940617233</v>
      </c>
      <c r="F333" s="365">
        <f t="shared" ref="F333:F396" si="139">ATAN(A333/Zero1)</f>
        <v>0.1830091365608478</v>
      </c>
      <c r="G333" s="364">
        <f t="shared" ref="G333:G396" si="140">IF(VIN_nom&gt;Vout, 1, SQRT(1+(A333/z_RHP)^2))</f>
        <v>1.2383085104963805</v>
      </c>
      <c r="H333" s="365">
        <f t="shared" ref="H333:H396" si="141">IF(VIN_nom&gt;Vout, 0, -ATAN(A333/z_RHP))</f>
        <v>-0.63080463583085533</v>
      </c>
      <c r="I333" s="363">
        <f t="shared" ref="I333:I396" si="142">SQRT(1+(A333/Pole2)^2)</f>
        <v>101825.51596023081</v>
      </c>
      <c r="J333" s="366">
        <f t="shared" ref="J333:J396" si="143">ATAN(A333/Pole2)</f>
        <v>1.5707865060737287</v>
      </c>
      <c r="K333" s="374">
        <f t="shared" si="133"/>
        <v>31.521112691866843</v>
      </c>
      <c r="L333" s="375">
        <f t="shared" si="134"/>
        <v>1.53906623435548</v>
      </c>
      <c r="M333" s="363">
        <f t="shared" ref="M333:M396" si="144">SQRT(1+(A333/pole4)^2)</f>
        <v>1.3993212800990973</v>
      </c>
      <c r="N333" s="366">
        <f t="shared" ref="N333:N396" si="145">ATAN(A333/pole4)</f>
        <v>0.77469821131985206</v>
      </c>
      <c r="O333" s="367">
        <f t="shared" ref="O333:O396" si="146">SQRT((1-(V333/pterm2))^2+(A333/pterm1)^2)</f>
        <v>1.0766051976049991</v>
      </c>
      <c r="P333" s="368">
        <f t="shared" ref="P333:P396" si="147">IF((ATAN((A333/pterm1)/(1-A333^2/pterm2))&gt;0),ATAN((A333/pterm1)/(1-A333^2/pterm2)),PI()+ATAN((A333/pterm1)/(1-A333^2/pterm2)))</f>
        <v>0.46677094773943878</v>
      </c>
      <c r="Q333" s="369">
        <f t="shared" ref="Q333:Q396" si="148">20*LOG10(((E333*K333*G333)/(C333*I333*O333*M333))*Adc)</f>
        <v>-12.550223095883517</v>
      </c>
      <c r="R333" s="370">
        <f t="shared" ref="R333:R396" si="149">((F333+L333+H333)-(D333+J333+P333+N333))*radconv</f>
        <v>-186.95166700646297</v>
      </c>
      <c r="S333" s="372">
        <f t="shared" ref="S333:S396" si="150">IF(R333&gt;0,R333,R333+180)</f>
        <v>-6.9516670064629693</v>
      </c>
      <c r="U333" s="345">
        <f t="shared" si="130"/>
        <v>24547</v>
      </c>
      <c r="V333" s="345">
        <f t="shared" si="131"/>
        <v>602555209</v>
      </c>
      <c r="X333" s="371">
        <f t="shared" ref="X333:X396" si="151">20*LOG10((K333/(I333*M333))*AEA)</f>
        <v>14.993223963741515</v>
      </c>
      <c r="Y333" s="372">
        <f t="shared" ref="Y333:Y396" si="152">(L333-(J333+N333))*radconv</f>
        <v>-46.204375652221543</v>
      </c>
      <c r="AA333" s="371">
        <f t="shared" ref="AA333:AA396" si="153">20*LOG10((E333*G333/(C333*O333))*Acs*Am)</f>
        <v>29.957778208208971</v>
      </c>
      <c r="AB333" s="372">
        <f t="shared" ref="AB333:AB396" si="154">(F333+H333-(D333+P333))*radconv</f>
        <v>-140.74729135424144</v>
      </c>
      <c r="AD333">
        <f t="shared" si="132"/>
        <v>0</v>
      </c>
      <c r="AE333">
        <f t="shared" si="135"/>
        <v>0</v>
      </c>
    </row>
    <row r="334" spans="1:31" x14ac:dyDescent="0.2">
      <c r="A334" s="373">
        <v>24690</v>
      </c>
      <c r="B334" s="390">
        <f t="shared" ref="B334:B397" si="155">A334/1000</f>
        <v>24.69</v>
      </c>
      <c r="C334" s="363">
        <f t="shared" si="136"/>
        <v>34.85761281720184</v>
      </c>
      <c r="D334" s="364">
        <f t="shared" si="137"/>
        <v>1.5421042524328623</v>
      </c>
      <c r="E334" s="364">
        <f t="shared" si="138"/>
        <v>1.0171798664273375</v>
      </c>
      <c r="F334" s="365">
        <f t="shared" si="139"/>
        <v>0.18405141976933034</v>
      </c>
      <c r="G334" s="364">
        <f t="shared" si="140"/>
        <v>1.2408226580845674</v>
      </c>
      <c r="H334" s="365">
        <f t="shared" si="141"/>
        <v>-0.63357367657397956</v>
      </c>
      <c r="I334" s="363">
        <f t="shared" si="142"/>
        <v>102418.70652449173</v>
      </c>
      <c r="J334" s="366">
        <f t="shared" si="143"/>
        <v>1.5707865629535638</v>
      </c>
      <c r="K334" s="374">
        <f t="shared" si="133"/>
        <v>31.704556517899036</v>
      </c>
      <c r="L334" s="375">
        <f t="shared" si="134"/>
        <v>1.5392498870372031</v>
      </c>
      <c r="M334" s="363">
        <f t="shared" si="144"/>
        <v>1.4033158935336159</v>
      </c>
      <c r="N334" s="366">
        <f t="shared" si="145"/>
        <v>0.77760203854598831</v>
      </c>
      <c r="O334" s="367">
        <f t="shared" si="146"/>
        <v>1.0774762994957903</v>
      </c>
      <c r="P334" s="368">
        <f t="shared" si="147"/>
        <v>0.46929835193013647</v>
      </c>
      <c r="Q334" s="369">
        <f t="shared" si="148"/>
        <v>-12.613172754188515</v>
      </c>
      <c r="R334" s="370">
        <f t="shared" si="149"/>
        <v>-187.36084183714885</v>
      </c>
      <c r="S334" s="372">
        <f t="shared" si="150"/>
        <v>-7.360841837148854</v>
      </c>
      <c r="U334" s="345">
        <f t="shared" ref="U334:U397" si="156">IF(Q334&lt;0,A334,1000000000)</f>
        <v>24690</v>
      </c>
      <c r="V334" s="345">
        <f t="shared" ref="V334:V397" si="157">A334^2</f>
        <v>609596100</v>
      </c>
      <c r="X334" s="371">
        <f t="shared" si="151"/>
        <v>14.968413373246731</v>
      </c>
      <c r="Y334" s="372">
        <f t="shared" si="152"/>
        <v>-46.360233432307922</v>
      </c>
      <c r="AA334" s="371">
        <f t="shared" si="153"/>
        <v>29.919639140398754</v>
      </c>
      <c r="AB334" s="372">
        <f t="shared" si="154"/>
        <v>-141.00060840484093</v>
      </c>
      <c r="AD334">
        <f t="shared" ref="AD334:AD397" si="158">SUM((Q335&lt;0)*(Q334&gt;0))*A334</f>
        <v>0</v>
      </c>
      <c r="AE334">
        <f t="shared" si="135"/>
        <v>0</v>
      </c>
    </row>
    <row r="335" spans="1:31" x14ac:dyDescent="0.2">
      <c r="A335" s="373">
        <v>24833</v>
      </c>
      <c r="B335" s="390">
        <f t="shared" si="155"/>
        <v>24.832999999999998</v>
      </c>
      <c r="C335" s="363">
        <f t="shared" si="136"/>
        <v>35.059336107249059</v>
      </c>
      <c r="D335" s="364">
        <f t="shared" si="137"/>
        <v>1.5422693849016551</v>
      </c>
      <c r="E335" s="364">
        <f t="shared" si="138"/>
        <v>1.017377743382514</v>
      </c>
      <c r="F335" s="365">
        <f t="shared" si="139"/>
        <v>0.18509329866730798</v>
      </c>
      <c r="G335" s="364">
        <f t="shared" si="140"/>
        <v>1.2433462812688973</v>
      </c>
      <c r="H335" s="365">
        <f t="shared" si="141"/>
        <v>-0.63633149773317021</v>
      </c>
      <c r="I335" s="363">
        <f t="shared" si="142"/>
        <v>103011.89708875297</v>
      </c>
      <c r="J335" s="366">
        <f t="shared" si="143"/>
        <v>1.5707866191783175</v>
      </c>
      <c r="K335" s="374">
        <f t="shared" si="133"/>
        <v>31.888001400968928</v>
      </c>
      <c r="L335" s="375">
        <f t="shared" si="134"/>
        <v>1.5394314266954345</v>
      </c>
      <c r="M335" s="363">
        <f t="shared" si="144"/>
        <v>1.4073222727929446</v>
      </c>
      <c r="N335" s="366">
        <f t="shared" si="145"/>
        <v>0.78048935671402364</v>
      </c>
      <c r="O335" s="367">
        <f t="shared" si="146"/>
        <v>1.0783519414230145</v>
      </c>
      <c r="P335" s="368">
        <f t="shared" si="147"/>
        <v>0.47182275992483019</v>
      </c>
      <c r="Q335" s="369">
        <f t="shared" si="148"/>
        <v>-12.675824375525311</v>
      </c>
      <c r="R335" s="370">
        <f t="shared" si="149"/>
        <v>-187.76829031480756</v>
      </c>
      <c r="S335" s="372">
        <f t="shared" si="150"/>
        <v>-7.7682903148075582</v>
      </c>
      <c r="U335" s="345">
        <f t="shared" si="156"/>
        <v>24833</v>
      </c>
      <c r="V335" s="345">
        <f t="shared" si="157"/>
        <v>616677889</v>
      </c>
      <c r="X335" s="371">
        <f t="shared" si="151"/>
        <v>14.943601414599572</v>
      </c>
      <c r="Y335" s="372">
        <f t="shared" si="152"/>
        <v>-46.515266342835126</v>
      </c>
      <c r="AA335" s="371">
        <f t="shared" si="153"/>
        <v>29.881799477709123</v>
      </c>
      <c r="AB335" s="372">
        <f t="shared" si="154"/>
        <v>-141.25302397197245</v>
      </c>
      <c r="AD335">
        <f t="shared" si="158"/>
        <v>0</v>
      </c>
      <c r="AE335">
        <f t="shared" si="135"/>
        <v>0</v>
      </c>
    </row>
    <row r="336" spans="1:31" x14ac:dyDescent="0.2">
      <c r="A336" s="373">
        <v>24976</v>
      </c>
      <c r="B336" s="390">
        <f t="shared" si="155"/>
        <v>24.975999999999999</v>
      </c>
      <c r="C336" s="363">
        <f t="shared" si="136"/>
        <v>35.261060342381377</v>
      </c>
      <c r="D336" s="364">
        <f t="shared" si="137"/>
        <v>1.5424326279693406</v>
      </c>
      <c r="E336" s="364">
        <f t="shared" si="138"/>
        <v>1.0175767242828604</v>
      </c>
      <c r="F336" s="365">
        <f t="shared" si="139"/>
        <v>0.18613477122936531</v>
      </c>
      <c r="G336" s="364">
        <f t="shared" si="140"/>
        <v>1.245879322468753</v>
      </c>
      <c r="H336" s="365">
        <f t="shared" si="141"/>
        <v>-0.63907812566447653</v>
      </c>
      <c r="I336" s="363">
        <f t="shared" si="142"/>
        <v>103605.08765301456</v>
      </c>
      <c r="J336" s="366">
        <f t="shared" si="143"/>
        <v>1.5707866747592421</v>
      </c>
      <c r="K336" s="374">
        <f t="shared" si="133"/>
        <v>32.071447322938127</v>
      </c>
      <c r="L336" s="375">
        <f t="shared" si="134"/>
        <v>1.5396108895770428</v>
      </c>
      <c r="M336" s="363">
        <f t="shared" si="144"/>
        <v>1.4113403176779589</v>
      </c>
      <c r="N336" s="366">
        <f t="shared" si="145"/>
        <v>0.78336025848045432</v>
      </c>
      <c r="O336" s="367">
        <f t="shared" si="146"/>
        <v>1.0792321156336104</v>
      </c>
      <c r="P336" s="368">
        <f t="shared" si="147"/>
        <v>0.47434416325262369</v>
      </c>
      <c r="Q336" s="369">
        <f t="shared" si="148"/>
        <v>-12.738181001596889</v>
      </c>
      <c r="R336" s="370">
        <f t="shared" si="149"/>
        <v>-188.17401870275933</v>
      </c>
      <c r="S336" s="372">
        <f t="shared" si="150"/>
        <v>-8.1740187027593265</v>
      </c>
      <c r="U336" s="345">
        <f t="shared" si="156"/>
        <v>24976</v>
      </c>
      <c r="V336" s="345">
        <f t="shared" si="157"/>
        <v>623800576</v>
      </c>
      <c r="X336" s="371">
        <f t="shared" si="151"/>
        <v>14.918788904079548</v>
      </c>
      <c r="Y336" s="372">
        <f t="shared" si="152"/>
        <v>-46.669477616481437</v>
      </c>
      <c r="AA336" s="371">
        <f t="shared" si="153"/>
        <v>29.844255362157565</v>
      </c>
      <c r="AB336" s="372">
        <f t="shared" si="154"/>
        <v>-141.50454108627787</v>
      </c>
      <c r="AD336">
        <f t="shared" si="158"/>
        <v>0</v>
      </c>
      <c r="AE336">
        <f t="shared" si="135"/>
        <v>0</v>
      </c>
    </row>
    <row r="337" spans="1:31" x14ac:dyDescent="0.2">
      <c r="A337" s="373">
        <v>25119</v>
      </c>
      <c r="B337" s="390">
        <f t="shared" si="155"/>
        <v>25.119</v>
      </c>
      <c r="C337" s="363">
        <f t="shared" si="136"/>
        <v>35.462785506470908</v>
      </c>
      <c r="D337" s="364">
        <f t="shared" si="137"/>
        <v>1.5425940138699361</v>
      </c>
      <c r="E337" s="364">
        <f t="shared" si="138"/>
        <v>1.0177768084808954</v>
      </c>
      <c r="F337" s="365">
        <f t="shared" si="139"/>
        <v>0.18717583543519253</v>
      </c>
      <c r="G337" s="364">
        <f t="shared" si="140"/>
        <v>1.2484217243568214</v>
      </c>
      <c r="H337" s="365">
        <f t="shared" si="141"/>
        <v>-0.64181358718597192</v>
      </c>
      <c r="I337" s="363">
        <f t="shared" si="142"/>
        <v>104198.27821727643</v>
      </c>
      <c r="J337" s="366">
        <f t="shared" si="143"/>
        <v>1.5707867297073332</v>
      </c>
      <c r="K337" s="374">
        <f t="shared" si="133"/>
        <v>32.254894266080782</v>
      </c>
      <c r="L337" s="375">
        <f t="shared" si="134"/>
        <v>1.5397883111048345</v>
      </c>
      <c r="M337" s="363">
        <f t="shared" si="144"/>
        <v>1.4153699288372348</v>
      </c>
      <c r="N337" s="366">
        <f t="shared" si="145"/>
        <v>0.78621483653361579</v>
      </c>
      <c r="O337" s="367">
        <f t="shared" si="146"/>
        <v>1.0801168143616982</v>
      </c>
      <c r="P337" s="368">
        <f t="shared" si="147"/>
        <v>0.47686255355595286</v>
      </c>
      <c r="Q337" s="369">
        <f t="shared" si="148"/>
        <v>-12.800245624784798</v>
      </c>
      <c r="R337" s="370">
        <f t="shared" si="149"/>
        <v>-188.57803330304483</v>
      </c>
      <c r="S337" s="372">
        <f t="shared" si="150"/>
        <v>-8.5780333030448332</v>
      </c>
      <c r="U337" s="345">
        <f t="shared" si="156"/>
        <v>25119</v>
      </c>
      <c r="V337" s="345">
        <f t="shared" si="157"/>
        <v>630964161</v>
      </c>
      <c r="X337" s="371">
        <f t="shared" si="151"/>
        <v>14.893976644484857</v>
      </c>
      <c r="Y337" s="372">
        <f t="shared" si="152"/>
        <v>-46.822870534950042</v>
      </c>
      <c r="AA337" s="371">
        <f t="shared" si="153"/>
        <v>29.807002998564343</v>
      </c>
      <c r="AB337" s="372">
        <f t="shared" si="154"/>
        <v>-141.75516276809478</v>
      </c>
      <c r="AD337">
        <f t="shared" si="158"/>
        <v>0</v>
      </c>
      <c r="AE337">
        <f t="shared" si="135"/>
        <v>0</v>
      </c>
    </row>
    <row r="338" spans="1:31" x14ac:dyDescent="0.2">
      <c r="A338" s="373">
        <v>25265.25</v>
      </c>
      <c r="B338" s="390">
        <f t="shared" si="155"/>
        <v>25.265250000000002</v>
      </c>
      <c r="C338" s="363">
        <f t="shared" si="136"/>
        <v>35.669096277820849</v>
      </c>
      <c r="D338" s="364">
        <f t="shared" si="137"/>
        <v>1.5427571795026138</v>
      </c>
      <c r="E338" s="364">
        <f t="shared" si="138"/>
        <v>1.0179825805640956</v>
      </c>
      <c r="F338" s="365">
        <f t="shared" si="139"/>
        <v>0.18824013570805734</v>
      </c>
      <c r="G338" s="364">
        <f t="shared" si="140"/>
        <v>1.2510315308477462</v>
      </c>
      <c r="H338" s="365">
        <f t="shared" si="141"/>
        <v>-0.64459969674260864</v>
      </c>
      <c r="I338" s="363">
        <f t="shared" si="142"/>
        <v>104804.95038527186</v>
      </c>
      <c r="J338" s="366">
        <f t="shared" si="143"/>
        <v>1.5707867852608723</v>
      </c>
      <c r="K338" s="374">
        <f t="shared" si="133"/>
        <v>32.442511496127622</v>
      </c>
      <c r="L338" s="375">
        <f t="shared" si="134"/>
        <v>1.5399676895453682</v>
      </c>
      <c r="M338" s="363">
        <f t="shared" si="144"/>
        <v>1.419502982976365</v>
      </c>
      <c r="N338" s="366">
        <f t="shared" si="145"/>
        <v>0.78911750355345445</v>
      </c>
      <c r="O338" s="367">
        <f t="shared" si="146"/>
        <v>1.0810262917034665</v>
      </c>
      <c r="P338" s="368">
        <f t="shared" si="147"/>
        <v>0.47943505489154981</v>
      </c>
      <c r="Q338" s="369">
        <f t="shared" si="148"/>
        <v>-12.863421842791752</v>
      </c>
      <c r="R338" s="370">
        <f t="shared" si="149"/>
        <v>-188.98946400501063</v>
      </c>
      <c r="S338" s="372">
        <f t="shared" si="150"/>
        <v>-8.9894640050106318</v>
      </c>
      <c r="U338" s="345">
        <f t="shared" si="156"/>
        <v>25265.25</v>
      </c>
      <c r="V338" s="345">
        <f t="shared" si="157"/>
        <v>638332857.5625</v>
      </c>
      <c r="X338" s="371">
        <f t="shared" si="151"/>
        <v>14.868601552123579</v>
      </c>
      <c r="Y338" s="372">
        <f t="shared" si="152"/>
        <v>-46.97890666010202</v>
      </c>
      <c r="AA338" s="371">
        <f t="shared" si="153"/>
        <v>29.769201872918675</v>
      </c>
      <c r="AB338" s="372">
        <f t="shared" si="154"/>
        <v>-142.01055734490868</v>
      </c>
      <c r="AD338">
        <f t="shared" si="158"/>
        <v>0</v>
      </c>
      <c r="AE338">
        <f t="shared" si="135"/>
        <v>0</v>
      </c>
    </row>
    <row r="339" spans="1:31" x14ac:dyDescent="0.2">
      <c r="A339" s="373">
        <v>25411.5</v>
      </c>
      <c r="B339" s="390">
        <f t="shared" si="155"/>
        <v>25.4115</v>
      </c>
      <c r="C339" s="363">
        <f t="shared" si="136"/>
        <v>35.875407987867916</v>
      </c>
      <c r="D339" s="364">
        <f t="shared" si="137"/>
        <v>1.542918468479036</v>
      </c>
      <c r="E339" s="364">
        <f t="shared" si="138"/>
        <v>1.0181895052850287</v>
      </c>
      <c r="F339" s="365">
        <f t="shared" si="139"/>
        <v>0.1893040045941472</v>
      </c>
      <c r="G339" s="364">
        <f t="shared" si="140"/>
        <v>1.2536510078779444</v>
      </c>
      <c r="H339" s="365">
        <f t="shared" si="141"/>
        <v>-0.64737418472819952</v>
      </c>
      <c r="I339" s="363">
        <f t="shared" si="142"/>
        <v>105411.6225532676</v>
      </c>
      <c r="J339" s="366">
        <f t="shared" si="143"/>
        <v>1.5707868401749605</v>
      </c>
      <c r="K339" s="374">
        <f t="shared" si="133"/>
        <v>32.630129758060626</v>
      </c>
      <c r="L339" s="375">
        <f t="shared" si="134"/>
        <v>1.5401450051942858</v>
      </c>
      <c r="M339" s="363">
        <f t="shared" si="144"/>
        <v>1.4236479276018601</v>
      </c>
      <c r="N339" s="366">
        <f t="shared" si="145"/>
        <v>0.79200329256544122</v>
      </c>
      <c r="O339" s="367">
        <f t="shared" si="146"/>
        <v>1.0819404850898555</v>
      </c>
      <c r="P339" s="368">
        <f t="shared" si="147"/>
        <v>0.4820043873701873</v>
      </c>
      <c r="Q339" s="369">
        <f t="shared" si="148"/>
        <v>-12.926298812292041</v>
      </c>
      <c r="R339" s="370">
        <f t="shared" si="149"/>
        <v>-189.3991155840304</v>
      </c>
      <c r="S339" s="372">
        <f t="shared" si="150"/>
        <v>-9.3991155840303975</v>
      </c>
      <c r="U339" s="345">
        <f t="shared" si="156"/>
        <v>25411.5</v>
      </c>
      <c r="V339" s="345">
        <f t="shared" si="157"/>
        <v>645744332.25</v>
      </c>
      <c r="X339" s="371">
        <f t="shared" si="151"/>
        <v>14.843228378146678</v>
      </c>
      <c r="Y339" s="372">
        <f t="shared" si="152"/>
        <v>-47.134093899252299</v>
      </c>
      <c r="AA339" s="371">
        <f t="shared" si="153"/>
        <v>29.731698077395279</v>
      </c>
      <c r="AB339" s="372">
        <f t="shared" si="154"/>
        <v>-142.26502168477811</v>
      </c>
      <c r="AD339">
        <f t="shared" si="158"/>
        <v>0</v>
      </c>
      <c r="AE339">
        <f t="shared" si="135"/>
        <v>0</v>
      </c>
    </row>
    <row r="340" spans="1:31" x14ac:dyDescent="0.2">
      <c r="A340" s="373">
        <v>25557.75</v>
      </c>
      <c r="B340" s="390">
        <f t="shared" si="155"/>
        <v>25.557749999999999</v>
      </c>
      <c r="C340" s="363">
        <f t="shared" si="136"/>
        <v>36.081720620509962</v>
      </c>
      <c r="D340" s="364">
        <f t="shared" si="137"/>
        <v>1.543077912982487</v>
      </c>
      <c r="E340" s="364">
        <f t="shared" si="138"/>
        <v>1.0183975819410935</v>
      </c>
      <c r="F340" s="365">
        <f t="shared" si="139"/>
        <v>0.19036743994894539</v>
      </c>
      <c r="G340" s="364">
        <f t="shared" si="140"/>
        <v>1.2562800949551223</v>
      </c>
      <c r="H340" s="365">
        <f t="shared" si="141"/>
        <v>-0.65013708125799341</v>
      </c>
      <c r="I340" s="363">
        <f t="shared" si="142"/>
        <v>106018.29472126368</v>
      </c>
      <c r="J340" s="366">
        <f t="shared" si="143"/>
        <v>1.570786894460575</v>
      </c>
      <c r="K340" s="374">
        <f t="shared" si="133"/>
        <v>32.817749034181965</v>
      </c>
      <c r="L340" s="375">
        <f t="shared" si="134"/>
        <v>1.5403202934193185</v>
      </c>
      <c r="M340" s="363">
        <f t="shared" si="144"/>
        <v>1.4278046591587856</v>
      </c>
      <c r="N340" s="366">
        <f t="shared" si="145"/>
        <v>0.7948723027052772</v>
      </c>
      <c r="O340" s="367">
        <f t="shared" si="146"/>
        <v>1.0828593861742304</v>
      </c>
      <c r="P340" s="368">
        <f t="shared" si="147"/>
        <v>0.48457054241748199</v>
      </c>
      <c r="Q340" s="369">
        <f t="shared" si="148"/>
        <v>-12.988879581725625</v>
      </c>
      <c r="R340" s="370">
        <f t="shared" si="149"/>
        <v>-189.80699489540734</v>
      </c>
      <c r="S340" s="372">
        <f t="shared" si="150"/>
        <v>-9.8069948954073425</v>
      </c>
      <c r="U340" s="345">
        <f t="shared" si="156"/>
        <v>25557.75</v>
      </c>
      <c r="V340" s="345">
        <f t="shared" si="157"/>
        <v>653198585.0625</v>
      </c>
      <c r="X340" s="371">
        <f t="shared" si="151"/>
        <v>14.817857938493441</v>
      </c>
      <c r="Y340" s="372">
        <f t="shared" si="152"/>
        <v>-47.28843590666537</v>
      </c>
      <c r="AA340" s="371">
        <f t="shared" si="153"/>
        <v>29.694487747614936</v>
      </c>
      <c r="AB340" s="372">
        <f t="shared" si="154"/>
        <v>-142.51855898874192</v>
      </c>
      <c r="AD340">
        <f t="shared" si="158"/>
        <v>0</v>
      </c>
      <c r="AE340">
        <f t="shared" si="135"/>
        <v>0</v>
      </c>
    </row>
    <row r="341" spans="1:31" x14ac:dyDescent="0.2">
      <c r="A341" s="373">
        <v>25704</v>
      </c>
      <c r="B341" s="390">
        <f t="shared" si="155"/>
        <v>25.704000000000001</v>
      </c>
      <c r="C341" s="363">
        <f t="shared" si="136"/>
        <v>36.288034160010994</v>
      </c>
      <c r="D341" s="364">
        <f t="shared" si="137"/>
        <v>1.5432355444647257</v>
      </c>
      <c r="E341" s="364">
        <f t="shared" si="138"/>
        <v>1.0186068098263523</v>
      </c>
      <c r="F341" s="365">
        <f t="shared" si="139"/>
        <v>0.19143043963360484</v>
      </c>
      <c r="G341" s="364">
        <f t="shared" si="140"/>
        <v>1.2589187318713035</v>
      </c>
      <c r="H341" s="365">
        <f t="shared" si="141"/>
        <v>-0.65288841690401134</v>
      </c>
      <c r="I341" s="363">
        <f t="shared" si="142"/>
        <v>106624.96688926003</v>
      </c>
      <c r="J341" s="366">
        <f t="shared" si="143"/>
        <v>1.5707869481284435</v>
      </c>
      <c r="K341" s="374">
        <f t="shared" si="133"/>
        <v>33.005369307196169</v>
      </c>
      <c r="L341" s="375">
        <f t="shared" si="134"/>
        <v>1.5404935887845053</v>
      </c>
      <c r="M341" s="363">
        <f t="shared" si="144"/>
        <v>1.4319730750018294</v>
      </c>
      <c r="N341" s="366">
        <f t="shared" si="145"/>
        <v>0.79772463306412655</v>
      </c>
      <c r="O341" s="367">
        <f t="shared" si="146"/>
        <v>1.0837829865975908</v>
      </c>
      <c r="P341" s="368">
        <f t="shared" si="147"/>
        <v>0.48713351158181301</v>
      </c>
      <c r="Q341" s="369">
        <f t="shared" si="148"/>
        <v>-13.051167150470548</v>
      </c>
      <c r="R341" s="370">
        <f t="shared" si="149"/>
        <v>-190.21310882889344</v>
      </c>
      <c r="S341" s="372">
        <f t="shared" si="150"/>
        <v>-10.213108828893439</v>
      </c>
      <c r="U341" s="345">
        <f t="shared" si="156"/>
        <v>25704</v>
      </c>
      <c r="V341" s="345">
        <f t="shared" si="157"/>
        <v>660695616</v>
      </c>
      <c r="X341" s="371">
        <f t="shared" si="151"/>
        <v>14.792491034969519</v>
      </c>
      <c r="Y341" s="372">
        <f t="shared" si="152"/>
        <v>-47.441936380087881</v>
      </c>
      <c r="AA341" s="371">
        <f t="shared" si="153"/>
        <v>29.657567082393932</v>
      </c>
      <c r="AB341" s="372">
        <f t="shared" si="154"/>
        <v>-142.77117244880557</v>
      </c>
      <c r="AD341">
        <f t="shared" si="158"/>
        <v>0</v>
      </c>
      <c r="AE341">
        <f t="shared" si="135"/>
        <v>0</v>
      </c>
    </row>
    <row r="342" spans="1:31" x14ac:dyDescent="0.2">
      <c r="A342" s="373">
        <v>25853.75</v>
      </c>
      <c r="B342" s="390">
        <f t="shared" si="155"/>
        <v>25.853750000000002</v>
      </c>
      <c r="C342" s="363">
        <f t="shared" si="136"/>
        <v>36.499286041162222</v>
      </c>
      <c r="D342" s="364">
        <f t="shared" si="137"/>
        <v>1.5433951018040906</v>
      </c>
      <c r="E342" s="364">
        <f t="shared" si="138"/>
        <v>1.0188222370189064</v>
      </c>
      <c r="F342" s="365">
        <f t="shared" si="139"/>
        <v>0.19251842496467933</v>
      </c>
      <c r="G342" s="364">
        <f t="shared" si="140"/>
        <v>1.2616303484585272</v>
      </c>
      <c r="H342" s="365">
        <f t="shared" si="141"/>
        <v>-0.65569364967780341</v>
      </c>
      <c r="I342" s="363">
        <f t="shared" si="142"/>
        <v>107246.15770743099</v>
      </c>
      <c r="J342" s="366">
        <f t="shared" si="143"/>
        <v>1.5707870024515225</v>
      </c>
      <c r="K342" s="374">
        <f t="shared" si="133"/>
        <v>33.197480653336783</v>
      </c>
      <c r="L342" s="375">
        <f t="shared" si="134"/>
        <v>1.5406690017000331</v>
      </c>
      <c r="M342" s="363">
        <f t="shared" si="144"/>
        <v>1.4362532486160107</v>
      </c>
      <c r="N342" s="366">
        <f t="shared" si="145"/>
        <v>0.80062804443091518</v>
      </c>
      <c r="O342" s="367">
        <f t="shared" si="146"/>
        <v>1.0847335509147533</v>
      </c>
      <c r="P342" s="368">
        <f t="shared" si="147"/>
        <v>0.48975450690136857</v>
      </c>
      <c r="Q342" s="369">
        <f t="shared" si="148"/>
        <v>-13.11464463444157</v>
      </c>
      <c r="R342" s="370">
        <f t="shared" si="149"/>
        <v>-190.6271197025425</v>
      </c>
      <c r="S342" s="372">
        <f t="shared" si="150"/>
        <v>-10.627119702542501</v>
      </c>
      <c r="U342" s="345">
        <f t="shared" si="156"/>
        <v>25853.75</v>
      </c>
      <c r="V342" s="345">
        <f t="shared" si="157"/>
        <v>668416389.0625</v>
      </c>
      <c r="X342" s="371">
        <f t="shared" si="151"/>
        <v>14.766521547091561</v>
      </c>
      <c r="Y342" s="372">
        <f t="shared" si="152"/>
        <v>-47.5982422905251</v>
      </c>
      <c r="AA342" s="371">
        <f t="shared" si="153"/>
        <v>29.62005908630087</v>
      </c>
      <c r="AB342" s="372">
        <f t="shared" si="154"/>
        <v>-143.02887741201744</v>
      </c>
      <c r="AD342">
        <f t="shared" si="158"/>
        <v>0</v>
      </c>
      <c r="AE342">
        <f t="shared" si="135"/>
        <v>0</v>
      </c>
    </row>
    <row r="343" spans="1:31" x14ac:dyDescent="0.2">
      <c r="A343" s="373">
        <v>26003.5</v>
      </c>
      <c r="B343" s="390">
        <f t="shared" si="155"/>
        <v>26.003499999999999</v>
      </c>
      <c r="C343" s="363">
        <f t="shared" si="136"/>
        <v>36.710538840837714</v>
      </c>
      <c r="D343" s="364">
        <f t="shared" si="137"/>
        <v>1.543552822784594</v>
      </c>
      <c r="E343" s="364">
        <f t="shared" si="138"/>
        <v>1.0190388696929191</v>
      </c>
      <c r="F343" s="365">
        <f t="shared" si="139"/>
        <v>0.1936059490032592</v>
      </c>
      <c r="G343" s="364">
        <f t="shared" si="140"/>
        <v>1.2643518506016393</v>
      </c>
      <c r="H343" s="365">
        <f t="shared" si="141"/>
        <v>-0.65848682789380686</v>
      </c>
      <c r="I343" s="363">
        <f t="shared" si="142"/>
        <v>107867.34852560227</v>
      </c>
      <c r="J343" s="366">
        <f t="shared" si="143"/>
        <v>1.5707870561489257</v>
      </c>
      <c r="K343" s="374">
        <f t="shared" ref="K343:K406" si="159">SQRT(1+(A343/Zero2)^2)</f>
        <v>33.389593009199203</v>
      </c>
      <c r="L343" s="375">
        <f t="shared" ref="L343:L406" si="160">ATAN(A343/Zero2)</f>
        <v>1.5408423960883977</v>
      </c>
      <c r="M343" s="363">
        <f t="shared" si="144"/>
        <v>1.4405454575480152</v>
      </c>
      <c r="N343" s="366">
        <f t="shared" si="145"/>
        <v>0.803514178160189</v>
      </c>
      <c r="O343" s="367">
        <f t="shared" si="146"/>
        <v>1.085689024412527</v>
      </c>
      <c r="P343" s="368">
        <f t="shared" si="147"/>
        <v>0.49237214448554012</v>
      </c>
      <c r="Q343" s="369">
        <f t="shared" si="148"/>
        <v>-13.177820928118258</v>
      </c>
      <c r="R343" s="370">
        <f t="shared" si="149"/>
        <v>-191.03929441286789</v>
      </c>
      <c r="S343" s="372">
        <f t="shared" si="150"/>
        <v>-11.039294412867889</v>
      </c>
      <c r="U343" s="345">
        <f t="shared" si="156"/>
        <v>26003.5</v>
      </c>
      <c r="V343" s="345">
        <f t="shared" si="157"/>
        <v>676182012.25</v>
      </c>
      <c r="X343" s="371">
        <f t="shared" si="151"/>
        <v>14.740557423294625</v>
      </c>
      <c r="Y343" s="372">
        <f t="shared" si="152"/>
        <v>-47.753673882490482</v>
      </c>
      <c r="AA343" s="371">
        <f t="shared" si="153"/>
        <v>29.582846916421115</v>
      </c>
      <c r="AB343" s="372">
        <f t="shared" si="154"/>
        <v>-143.28562053037737</v>
      </c>
      <c r="AD343">
        <f t="shared" si="158"/>
        <v>0</v>
      </c>
      <c r="AE343">
        <f t="shared" si="135"/>
        <v>0</v>
      </c>
    </row>
    <row r="344" spans="1:31" x14ac:dyDescent="0.2">
      <c r="A344" s="373">
        <v>26153.25</v>
      </c>
      <c r="B344" s="390">
        <f t="shared" si="155"/>
        <v>26.15325</v>
      </c>
      <c r="C344" s="363">
        <f t="shared" si="136"/>
        <v>36.921792543271081</v>
      </c>
      <c r="D344" s="364">
        <f t="shared" si="137"/>
        <v>1.5437087389193485</v>
      </c>
      <c r="E344" s="364">
        <f t="shared" si="138"/>
        <v>1.0192567070797514</v>
      </c>
      <c r="F344" s="365">
        <f t="shared" si="139"/>
        <v>0.1946930094718492</v>
      </c>
      <c r="G344" s="364">
        <f t="shared" si="140"/>
        <v>1.2670831746026252</v>
      </c>
      <c r="H344" s="365">
        <f t="shared" si="141"/>
        <v>-0.66126798578244683</v>
      </c>
      <c r="I344" s="363">
        <f t="shared" si="142"/>
        <v>108488.53934377384</v>
      </c>
      <c r="J344" s="366">
        <f t="shared" si="143"/>
        <v>1.5707871092314003</v>
      </c>
      <c r="K344" s="374">
        <f t="shared" si="159"/>
        <v>33.581706357454365</v>
      </c>
      <c r="L344" s="375">
        <f t="shared" si="160"/>
        <v>1.5410138065816943</v>
      </c>
      <c r="M344" s="363">
        <f t="shared" si="144"/>
        <v>1.4448495945380351</v>
      </c>
      <c r="N344" s="366">
        <f t="shared" si="145"/>
        <v>0.8063831403635946</v>
      </c>
      <c r="O344" s="367">
        <f t="shared" si="146"/>
        <v>1.0866493980797274</v>
      </c>
      <c r="P344" s="368">
        <f t="shared" si="147"/>
        <v>0.49498641565915819</v>
      </c>
      <c r="Q344" s="369">
        <f t="shared" si="148"/>
        <v>-13.240699098892586</v>
      </c>
      <c r="R344" s="370">
        <f t="shared" si="149"/>
        <v>-191.44964045622933</v>
      </c>
      <c r="S344" s="372">
        <f t="shared" si="150"/>
        <v>-11.449640456229332</v>
      </c>
      <c r="U344" s="345">
        <f t="shared" si="156"/>
        <v>26153.25</v>
      </c>
      <c r="V344" s="345">
        <f t="shared" si="157"/>
        <v>683992485.5625</v>
      </c>
      <c r="X344" s="371">
        <f t="shared" si="151"/>
        <v>14.714599479312726</v>
      </c>
      <c r="Y344" s="372">
        <f t="shared" si="152"/>
        <v>-47.908235252076395</v>
      </c>
      <c r="AA344" s="371">
        <f t="shared" si="153"/>
        <v>29.54592668962869</v>
      </c>
      <c r="AB344" s="372">
        <f t="shared" si="154"/>
        <v>-143.54140520415297</v>
      </c>
      <c r="AD344">
        <f t="shared" si="158"/>
        <v>0</v>
      </c>
      <c r="AE344">
        <f t="shared" si="135"/>
        <v>0</v>
      </c>
    </row>
    <row r="345" spans="1:31" x14ac:dyDescent="0.2">
      <c r="A345" s="373">
        <v>26303</v>
      </c>
      <c r="B345" s="390">
        <f t="shared" si="155"/>
        <v>26.303000000000001</v>
      </c>
      <c r="C345" s="363">
        <f t="shared" si="136"/>
        <v>37.133047133054703</v>
      </c>
      <c r="D345" s="364">
        <f t="shared" si="137"/>
        <v>1.543862881004693</v>
      </c>
      <c r="E345" s="364">
        <f t="shared" si="138"/>
        <v>1.0194757484071491</v>
      </c>
      <c r="F345" s="365">
        <f t="shared" si="139"/>
        <v>0.19577960409927769</v>
      </c>
      <c r="G345" s="364">
        <f t="shared" si="140"/>
        <v>1.2698242570826146</v>
      </c>
      <c r="H345" s="365">
        <f t="shared" si="141"/>
        <v>-0.66403715802397323</v>
      </c>
      <c r="I345" s="363">
        <f t="shared" si="142"/>
        <v>109109.73016194573</v>
      </c>
      <c r="J345" s="366">
        <f t="shared" si="143"/>
        <v>1.5707871617094498</v>
      </c>
      <c r="K345" s="374">
        <f t="shared" si="159"/>
        <v>33.773820681167358</v>
      </c>
      <c r="L345" s="375">
        <f t="shared" si="160"/>
        <v>1.5411832670245054</v>
      </c>
      <c r="M345" s="363">
        <f t="shared" si="144"/>
        <v>1.4491655533042302</v>
      </c>
      <c r="N345" s="366">
        <f t="shared" si="145"/>
        <v>0.80923503702462196</v>
      </c>
      <c r="O345" s="367">
        <f t="shared" si="146"/>
        <v>1.0876146628934102</v>
      </c>
      <c r="P345" s="368">
        <f t="shared" si="147"/>
        <v>0.49759731188046097</v>
      </c>
      <c r="Q345" s="369">
        <f t="shared" si="148"/>
        <v>-13.303282165085847</v>
      </c>
      <c r="R345" s="370">
        <f t="shared" si="149"/>
        <v>-191.85816535873761</v>
      </c>
      <c r="S345" s="372">
        <f t="shared" si="150"/>
        <v>-11.858165358737608</v>
      </c>
      <c r="U345" s="345">
        <f t="shared" si="156"/>
        <v>26303</v>
      </c>
      <c r="V345" s="345">
        <f t="shared" si="157"/>
        <v>691847809</v>
      </c>
      <c r="X345" s="371">
        <f t="shared" si="151"/>
        <v>14.688648516046282</v>
      </c>
      <c r="Y345" s="372">
        <f t="shared" si="152"/>
        <v>-48.061930533139595</v>
      </c>
      <c r="AA345" s="371">
        <f t="shared" si="153"/>
        <v>29.509294586701877</v>
      </c>
      <c r="AB345" s="372">
        <f t="shared" si="154"/>
        <v>-143.79623482559802</v>
      </c>
      <c r="AD345">
        <f t="shared" si="158"/>
        <v>0</v>
      </c>
      <c r="AE345">
        <f t="shared" si="135"/>
        <v>0</v>
      </c>
    </row>
    <row r="346" spans="1:31" x14ac:dyDescent="0.2">
      <c r="A346" s="373">
        <v>26456</v>
      </c>
      <c r="B346" s="390">
        <f t="shared" si="155"/>
        <v>26.456</v>
      </c>
      <c r="C346" s="363">
        <f t="shared" si="136"/>
        <v>37.34888744777335</v>
      </c>
      <c r="D346" s="364">
        <f t="shared" si="137"/>
        <v>1.5440185674985245</v>
      </c>
      <c r="E346" s="364">
        <f t="shared" si="138"/>
        <v>1.0197007861633827</v>
      </c>
      <c r="F346" s="365">
        <f t="shared" si="139"/>
        <v>0.19688929744198855</v>
      </c>
      <c r="G346" s="364">
        <f t="shared" si="140"/>
        <v>1.2726348416937465</v>
      </c>
      <c r="H346" s="365">
        <f t="shared" si="141"/>
        <v>-0.66685408704211446</v>
      </c>
      <c r="I346" s="363">
        <f t="shared" si="142"/>
        <v>109744.4025838512</v>
      </c>
      <c r="J346" s="366">
        <f t="shared" si="143"/>
        <v>1.5707872147128545</v>
      </c>
      <c r="K346" s="374">
        <f t="shared" si="159"/>
        <v>33.970105421164341</v>
      </c>
      <c r="L346" s="375">
        <f t="shared" si="160"/>
        <v>1.5413544256545986</v>
      </c>
      <c r="M346" s="363">
        <f t="shared" si="144"/>
        <v>1.4535872804899319</v>
      </c>
      <c r="N346" s="366">
        <f t="shared" si="145"/>
        <v>0.81213131291661822</v>
      </c>
      <c r="O346" s="367">
        <f t="shared" si="146"/>
        <v>1.088605918821016</v>
      </c>
      <c r="P346" s="368">
        <f t="shared" si="147"/>
        <v>0.50026137759688749</v>
      </c>
      <c r="Q346" s="369">
        <f t="shared" si="148"/>
        <v>-13.366921770152118</v>
      </c>
      <c r="R346" s="370">
        <f t="shared" si="149"/>
        <v>-192.27368341362592</v>
      </c>
      <c r="S346" s="372">
        <f t="shared" si="150"/>
        <v>-12.273683413625918</v>
      </c>
      <c r="U346" s="345">
        <f t="shared" si="156"/>
        <v>26456</v>
      </c>
      <c r="V346" s="345">
        <f t="shared" si="157"/>
        <v>699919936</v>
      </c>
      <c r="X346" s="371">
        <f t="shared" si="151"/>
        <v>14.662142370656426</v>
      </c>
      <c r="Y346" s="372">
        <f t="shared" si="152"/>
        <v>-48.218071287974688</v>
      </c>
      <c r="AA346" s="371">
        <f t="shared" si="153"/>
        <v>29.472161127025458</v>
      </c>
      <c r="AB346" s="372">
        <f t="shared" si="154"/>
        <v>-144.05561212565124</v>
      </c>
      <c r="AD346">
        <f t="shared" si="158"/>
        <v>0</v>
      </c>
      <c r="AE346">
        <f t="shared" ref="AE346:AE409" si="161">IF(AD346&gt;0,S346,0)</f>
        <v>0</v>
      </c>
    </row>
    <row r="347" spans="1:31" x14ac:dyDescent="0.2">
      <c r="A347" s="373">
        <v>26609</v>
      </c>
      <c r="B347" s="390">
        <f t="shared" si="155"/>
        <v>26.609000000000002</v>
      </c>
      <c r="C347" s="363">
        <f t="shared" si="136"/>
        <v>37.564728657361862</v>
      </c>
      <c r="D347" s="364">
        <f t="shared" si="137"/>
        <v>1.5441724648942869</v>
      </c>
      <c r="E347" s="364">
        <f t="shared" si="138"/>
        <v>1.019927079043849</v>
      </c>
      <c r="F347" s="365">
        <f t="shared" si="139"/>
        <v>0.19799849973115388</v>
      </c>
      <c r="G347" s="364">
        <f t="shared" si="140"/>
        <v>1.2754554802232687</v>
      </c>
      <c r="H347" s="365">
        <f t="shared" si="141"/>
        <v>-0.669658579093385</v>
      </c>
      <c r="I347" s="363">
        <f t="shared" si="142"/>
        <v>110379.07500575695</v>
      </c>
      <c r="J347" s="366">
        <f t="shared" si="143"/>
        <v>1.5707872671067269</v>
      </c>
      <c r="K347" s="374">
        <f t="shared" si="159"/>
        <v>34.166391144890575</v>
      </c>
      <c r="L347" s="375">
        <f t="shared" si="160"/>
        <v>1.5415236176788791</v>
      </c>
      <c r="M347" s="363">
        <f t="shared" si="144"/>
        <v>1.4580211269511663</v>
      </c>
      <c r="N347" s="366">
        <f t="shared" si="145"/>
        <v>0.81500999766740712</v>
      </c>
      <c r="O347" s="367">
        <f t="shared" si="146"/>
        <v>1.0896022614247425</v>
      </c>
      <c r="P347" s="368">
        <f t="shared" si="147"/>
        <v>0.50292190267676817</v>
      </c>
      <c r="Q347" s="369">
        <f t="shared" si="148"/>
        <v>-13.430259540496136</v>
      </c>
      <c r="R347" s="370">
        <f t="shared" si="149"/>
        <v>-192.68731639193814</v>
      </c>
      <c r="S347" s="372">
        <f t="shared" si="150"/>
        <v>-12.68731639193814</v>
      </c>
      <c r="U347" s="345">
        <f t="shared" si="156"/>
        <v>26609</v>
      </c>
      <c r="V347" s="345">
        <f t="shared" si="157"/>
        <v>708038881</v>
      </c>
      <c r="X347" s="371">
        <f t="shared" si="151"/>
        <v>14.635645155910353</v>
      </c>
      <c r="Y347" s="372">
        <f t="shared" si="152"/>
        <v>-48.373316787950159</v>
      </c>
      <c r="AA347" s="371">
        <f t="shared" si="153"/>
        <v>29.435320571427511</v>
      </c>
      <c r="AB347" s="372">
        <f t="shared" si="154"/>
        <v>-144.31399960398792</v>
      </c>
      <c r="AD347">
        <f t="shared" si="158"/>
        <v>0</v>
      </c>
      <c r="AE347">
        <f t="shared" si="161"/>
        <v>0</v>
      </c>
    </row>
    <row r="348" spans="1:31" x14ac:dyDescent="0.2">
      <c r="A348" s="373">
        <v>26762</v>
      </c>
      <c r="B348" s="390">
        <f t="shared" si="155"/>
        <v>26.762</v>
      </c>
      <c r="C348" s="363">
        <f t="shared" si="136"/>
        <v>37.780570746483008</v>
      </c>
      <c r="D348" s="364">
        <f t="shared" si="137"/>
        <v>1.5443246038482188</v>
      </c>
      <c r="E348" s="364">
        <f t="shared" si="138"/>
        <v>1.0201546262133057</v>
      </c>
      <c r="F348" s="365">
        <f t="shared" si="139"/>
        <v>0.1991072085650962</v>
      </c>
      <c r="G348" s="364">
        <f t="shared" si="140"/>
        <v>1.2782861061169049</v>
      </c>
      <c r="H348" s="365">
        <f t="shared" si="141"/>
        <v>-0.67245067253736779</v>
      </c>
      <c r="I348" s="363">
        <f t="shared" si="142"/>
        <v>111013.74742766304</v>
      </c>
      <c r="J348" s="366">
        <f t="shared" si="143"/>
        <v>1.5707873189015213</v>
      </c>
      <c r="K348" s="374">
        <f t="shared" si="159"/>
        <v>34.362677835488363</v>
      </c>
      <c r="L348" s="375">
        <f t="shared" si="160"/>
        <v>1.541690876788548</v>
      </c>
      <c r="M348" s="363">
        <f t="shared" si="144"/>
        <v>1.4624669824597938</v>
      </c>
      <c r="N348" s="366">
        <f t="shared" si="145"/>
        <v>0.81787120377907041</v>
      </c>
      <c r="O348" s="367">
        <f t="shared" si="146"/>
        <v>1.0906036810462774</v>
      </c>
      <c r="P348" s="368">
        <f t="shared" si="147"/>
        <v>0.50557887843880245</v>
      </c>
      <c r="Q348" s="369">
        <f t="shared" si="148"/>
        <v>-13.493298543804002</v>
      </c>
      <c r="R348" s="370">
        <f t="shared" si="149"/>
        <v>-193.09907240432349</v>
      </c>
      <c r="S348" s="372">
        <f t="shared" si="150"/>
        <v>-13.099072404323493</v>
      </c>
      <c r="U348" s="345">
        <f t="shared" si="156"/>
        <v>26762</v>
      </c>
      <c r="V348" s="345">
        <f t="shared" si="157"/>
        <v>716204644</v>
      </c>
      <c r="X348" s="371">
        <f t="shared" si="151"/>
        <v>14.609157679181218</v>
      </c>
      <c r="Y348" s="372">
        <f t="shared" si="152"/>
        <v>-48.527671549195865</v>
      </c>
      <c r="AA348" s="371">
        <f t="shared" si="153"/>
        <v>29.39876904484878</v>
      </c>
      <c r="AB348" s="372">
        <f t="shared" si="154"/>
        <v>-144.57140085512762</v>
      </c>
      <c r="AD348">
        <f t="shared" si="158"/>
        <v>0</v>
      </c>
      <c r="AE348">
        <f t="shared" si="161"/>
        <v>0</v>
      </c>
    </row>
    <row r="349" spans="1:31" x14ac:dyDescent="0.2">
      <c r="A349" s="373">
        <v>26915</v>
      </c>
      <c r="B349" s="390">
        <f t="shared" si="155"/>
        <v>26.914999999999999</v>
      </c>
      <c r="C349" s="363">
        <f t="shared" si="136"/>
        <v>37.99641370014799</v>
      </c>
      <c r="D349" s="364">
        <f t="shared" si="137"/>
        <v>1.5444750143203034</v>
      </c>
      <c r="E349" s="364">
        <f t="shared" si="138"/>
        <v>1.0203834268326264</v>
      </c>
      <c r="F349" s="365">
        <f t="shared" si="139"/>
        <v>0.20021542154912694</v>
      </c>
      <c r="G349" s="364">
        <f t="shared" si="140"/>
        <v>1.2811266531739622</v>
      </c>
      <c r="H349" s="365">
        <f t="shared" si="141"/>
        <v>-0.67523040616848551</v>
      </c>
      <c r="I349" s="363">
        <f t="shared" si="142"/>
        <v>111648.4198495694</v>
      </c>
      <c r="J349" s="366">
        <f t="shared" si="143"/>
        <v>1.5707873701074544</v>
      </c>
      <c r="K349" s="374">
        <f t="shared" si="159"/>
        <v>34.558965476482896</v>
      </c>
      <c r="L349" s="375">
        <f t="shared" si="160"/>
        <v>1.5418562359098094</v>
      </c>
      <c r="M349" s="363">
        <f t="shared" si="144"/>
        <v>1.4669247378272112</v>
      </c>
      <c r="N349" s="366">
        <f t="shared" si="145"/>
        <v>0.82071504353642555</v>
      </c>
      <c r="O349" s="367">
        <f t="shared" si="146"/>
        <v>1.0916101680164958</v>
      </c>
      <c r="P349" s="368">
        <f t="shared" si="147"/>
        <v>0.5082322963451894</v>
      </c>
      <c r="Q349" s="369">
        <f t="shared" si="148"/>
        <v>-13.556041799066529</v>
      </c>
      <c r="R349" s="370">
        <f t="shared" si="149"/>
        <v>-193.50895958564385</v>
      </c>
      <c r="S349" s="372">
        <f t="shared" si="150"/>
        <v>-13.508959585643851</v>
      </c>
      <c r="U349" s="345">
        <f t="shared" si="156"/>
        <v>26915</v>
      </c>
      <c r="V349" s="345">
        <f t="shared" si="157"/>
        <v>724417225</v>
      </c>
      <c r="X349" s="371">
        <f t="shared" si="151"/>
        <v>14.582680732463709</v>
      </c>
      <c r="Y349" s="372">
        <f t="shared" si="152"/>
        <v>-48.681140119210781</v>
      </c>
      <c r="AA349" s="371">
        <f t="shared" si="153"/>
        <v>29.362502736303764</v>
      </c>
      <c r="AB349" s="372">
        <f t="shared" si="154"/>
        <v>-144.82781946643311</v>
      </c>
      <c r="AD349">
        <f t="shared" si="158"/>
        <v>0</v>
      </c>
      <c r="AE349">
        <f t="shared" si="161"/>
        <v>0</v>
      </c>
    </row>
    <row r="350" spans="1:31" x14ac:dyDescent="0.2">
      <c r="A350" s="373">
        <v>27071.75</v>
      </c>
      <c r="B350" s="390">
        <f t="shared" si="155"/>
        <v>27.071750000000002</v>
      </c>
      <c r="C350" s="363">
        <f t="shared" si="136"/>
        <v>38.217547803558155</v>
      </c>
      <c r="D350" s="364">
        <f t="shared" si="137"/>
        <v>1.5446273493880609</v>
      </c>
      <c r="E350" s="364">
        <f t="shared" si="138"/>
        <v>1.0206191343379307</v>
      </c>
      <c r="F350" s="365">
        <f t="shared" si="139"/>
        <v>0.20135027989111606</v>
      </c>
      <c r="G350" s="364">
        <f t="shared" si="140"/>
        <v>1.284047041532393</v>
      </c>
      <c r="H350" s="365">
        <f t="shared" si="141"/>
        <v>-0.67806549359983137</v>
      </c>
      <c r="I350" s="363">
        <f t="shared" si="142"/>
        <v>112298.64796809141</v>
      </c>
      <c r="J350" s="366">
        <f t="shared" si="143"/>
        <v>1.5707874219681859</v>
      </c>
      <c r="K350" s="374">
        <f t="shared" si="159"/>
        <v>34.760065057860054</v>
      </c>
      <c r="L350" s="375">
        <f t="shared" si="160"/>
        <v>1.542023711182767</v>
      </c>
      <c r="M350" s="363">
        <f t="shared" si="144"/>
        <v>1.4715039797580141</v>
      </c>
      <c r="N350" s="366">
        <f t="shared" si="145"/>
        <v>0.82361069235959294</v>
      </c>
      <c r="O350" s="367">
        <f t="shared" si="146"/>
        <v>1.0926465688350415</v>
      </c>
      <c r="P350" s="368">
        <f t="shared" si="147"/>
        <v>0.51094705050019806</v>
      </c>
      <c r="Q350" s="369">
        <f t="shared" si="148"/>
        <v>-13.620019275668614</v>
      </c>
      <c r="R350" s="370">
        <f t="shared" si="149"/>
        <v>-193.92696345070624</v>
      </c>
      <c r="S350" s="372">
        <f t="shared" si="150"/>
        <v>-13.926963450706239</v>
      </c>
      <c r="U350" s="345">
        <f t="shared" si="156"/>
        <v>27071.75</v>
      </c>
      <c r="V350" s="345">
        <f t="shared" si="157"/>
        <v>732879648.0625</v>
      </c>
      <c r="X350" s="371">
        <f t="shared" si="151"/>
        <v>14.555566573373312</v>
      </c>
      <c r="Y350" s="372">
        <f t="shared" si="152"/>
        <v>-48.837455920996675</v>
      </c>
      <c r="AA350" s="371">
        <f t="shared" si="153"/>
        <v>29.325639418792072</v>
      </c>
      <c r="AB350" s="372">
        <f t="shared" si="154"/>
        <v>-145.08950752970958</v>
      </c>
      <c r="AD350">
        <f t="shared" si="158"/>
        <v>0</v>
      </c>
      <c r="AE350">
        <f t="shared" si="161"/>
        <v>0</v>
      </c>
    </row>
    <row r="351" spans="1:31" x14ac:dyDescent="0.2">
      <c r="A351" s="373">
        <v>27228.5</v>
      </c>
      <c r="B351" s="390">
        <f t="shared" si="155"/>
        <v>27.2285</v>
      </c>
      <c r="C351" s="363">
        <f t="shared" si="136"/>
        <v>38.438682783639464</v>
      </c>
      <c r="D351" s="364">
        <f t="shared" si="137"/>
        <v>1.5447779317138812</v>
      </c>
      <c r="E351" s="364">
        <f t="shared" si="138"/>
        <v>1.0208561556941627</v>
      </c>
      <c r="F351" s="365">
        <f t="shared" si="139"/>
        <v>0.20248461271291396</v>
      </c>
      <c r="G351" s="364">
        <f t="shared" si="140"/>
        <v>1.2869777038144739</v>
      </c>
      <c r="H351" s="365">
        <f t="shared" si="141"/>
        <v>-0.68088769169811159</v>
      </c>
      <c r="I351" s="363">
        <f t="shared" si="142"/>
        <v>112948.87608661373</v>
      </c>
      <c r="J351" s="366">
        <f t="shared" si="143"/>
        <v>1.5707874732318099</v>
      </c>
      <c r="K351" s="374">
        <f t="shared" si="159"/>
        <v>34.961165602970375</v>
      </c>
      <c r="L351" s="375">
        <f t="shared" si="160"/>
        <v>1.5421892597872218</v>
      </c>
      <c r="M351" s="363">
        <f t="shared" si="144"/>
        <v>1.4760954833159006</v>
      </c>
      <c r="N351" s="366">
        <f t="shared" si="145"/>
        <v>0.82648835092927597</v>
      </c>
      <c r="O351" s="367">
        <f t="shared" si="146"/>
        <v>1.0936882678666136</v>
      </c>
      <c r="P351" s="368">
        <f t="shared" si="147"/>
        <v>0.51365805257461206</v>
      </c>
      <c r="Q351" s="369">
        <f t="shared" si="148"/>
        <v>-13.683692592453918</v>
      </c>
      <c r="R351" s="370">
        <f t="shared" si="149"/>
        <v>-194.34302310853695</v>
      </c>
      <c r="S351" s="372">
        <f t="shared" si="150"/>
        <v>-14.343023108536954</v>
      </c>
      <c r="U351" s="345">
        <f t="shared" si="156"/>
        <v>27228.5</v>
      </c>
      <c r="V351" s="345">
        <f t="shared" si="157"/>
        <v>741391212.25</v>
      </c>
      <c r="X351" s="371">
        <f t="shared" si="151"/>
        <v>14.528465101129711</v>
      </c>
      <c r="Y351" s="372">
        <f t="shared" si="152"/>
        <v>-48.99285131294647</v>
      </c>
      <c r="AA351" s="371">
        <f t="shared" si="153"/>
        <v>29.289067574250367</v>
      </c>
      <c r="AB351" s="372">
        <f t="shared" si="154"/>
        <v>-145.35017179559046</v>
      </c>
      <c r="AD351">
        <f t="shared" si="158"/>
        <v>0</v>
      </c>
      <c r="AE351">
        <f t="shared" si="161"/>
        <v>0</v>
      </c>
    </row>
    <row r="352" spans="1:31" x14ac:dyDescent="0.2">
      <c r="A352" s="373">
        <v>27385.25</v>
      </c>
      <c r="B352" s="390">
        <f t="shared" si="155"/>
        <v>27.385249999999999</v>
      </c>
      <c r="C352" s="363">
        <f t="shared" si="136"/>
        <v>38.65981862534818</v>
      </c>
      <c r="D352" s="364">
        <f t="shared" si="137"/>
        <v>1.5449267913681568</v>
      </c>
      <c r="E352" s="364">
        <f t="shared" si="138"/>
        <v>1.0210944899863899</v>
      </c>
      <c r="F352" s="365">
        <f t="shared" si="139"/>
        <v>0.20361841746238307</v>
      </c>
      <c r="G352" s="364">
        <f t="shared" si="140"/>
        <v>1.2899185699939244</v>
      </c>
      <c r="H352" s="365">
        <f t="shared" si="141"/>
        <v>-0.68369704351249638</v>
      </c>
      <c r="I352" s="363">
        <f t="shared" si="142"/>
        <v>113599.10420513635</v>
      </c>
      <c r="J352" s="366">
        <f t="shared" si="143"/>
        <v>1.5707875239085798</v>
      </c>
      <c r="K352" s="374">
        <f t="shared" si="159"/>
        <v>35.162267095278473</v>
      </c>
      <c r="L352" s="375">
        <f t="shared" si="160"/>
        <v>1.5423529147712676</v>
      </c>
      <c r="M352" s="363">
        <f t="shared" si="144"/>
        <v>1.4806991344345473</v>
      </c>
      <c r="N352" s="366">
        <f t="shared" si="145"/>
        <v>0.82934813916500683</v>
      </c>
      <c r="O352" s="367">
        <f t="shared" si="146"/>
        <v>1.0947352546815168</v>
      </c>
      <c r="P352" s="368">
        <f t="shared" si="147"/>
        <v>0.51636529385262175</v>
      </c>
      <c r="Q352" s="369">
        <f t="shared" si="148"/>
        <v>-13.747064844072286</v>
      </c>
      <c r="R352" s="370">
        <f t="shared" si="149"/>
        <v>-194.75714737338015</v>
      </c>
      <c r="S352" s="372">
        <f t="shared" si="150"/>
        <v>-14.75714737338015</v>
      </c>
      <c r="U352" s="345">
        <f t="shared" si="156"/>
        <v>27385.25</v>
      </c>
      <c r="V352" s="345">
        <f t="shared" si="157"/>
        <v>749951917.5625</v>
      </c>
      <c r="X352" s="371">
        <f t="shared" si="151"/>
        <v>14.501377118485975</v>
      </c>
      <c r="Y352" s="372">
        <f t="shared" si="152"/>
        <v>-49.147331273014487</v>
      </c>
      <c r="AA352" s="371">
        <f t="shared" si="153"/>
        <v>29.252783305275749</v>
      </c>
      <c r="AB352" s="372">
        <f t="shared" si="154"/>
        <v>-145.60981610036569</v>
      </c>
      <c r="AD352">
        <f t="shared" si="158"/>
        <v>0</v>
      </c>
      <c r="AE352">
        <f t="shared" si="161"/>
        <v>0</v>
      </c>
    </row>
    <row r="353" spans="1:31" x14ac:dyDescent="0.2">
      <c r="A353" s="373">
        <v>27542</v>
      </c>
      <c r="B353" s="390">
        <f t="shared" si="155"/>
        <v>27.542000000000002</v>
      </c>
      <c r="C353" s="363">
        <f t="shared" si="136"/>
        <v>38.880955313982767</v>
      </c>
      <c r="D353" s="364">
        <f t="shared" si="137"/>
        <v>1.545073957737483</v>
      </c>
      <c r="E353" s="364">
        <f t="shared" si="138"/>
        <v>1.0213341362954684</v>
      </c>
      <c r="F353" s="365">
        <f t="shared" si="139"/>
        <v>0.20475169159519241</v>
      </c>
      <c r="G353" s="364">
        <f t="shared" si="140"/>
        <v>1.2928695704389044</v>
      </c>
      <c r="H353" s="365">
        <f t="shared" si="141"/>
        <v>-0.68649359251225939</v>
      </c>
      <c r="I353" s="363">
        <f t="shared" si="142"/>
        <v>114249.33232365926</v>
      </c>
      <c r="J353" s="366">
        <f t="shared" si="143"/>
        <v>1.5707875740085155</v>
      </c>
      <c r="K353" s="374">
        <f t="shared" si="159"/>
        <v>35.363369518624992</v>
      </c>
      <c r="L353" s="375">
        <f t="shared" si="160"/>
        <v>1.5425147084316648</v>
      </c>
      <c r="M353" s="363">
        <f t="shared" si="144"/>
        <v>1.4853148201618809</v>
      </c>
      <c r="N353" s="366">
        <f t="shared" si="145"/>
        <v>0.83219017667078932</v>
      </c>
      <c r="O353" s="367">
        <f t="shared" si="146"/>
        <v>1.0957875188403465</v>
      </c>
      <c r="P353" s="368">
        <f t="shared" si="147"/>
        <v>0.51906876577422734</v>
      </c>
      <c r="Q353" s="369">
        <f t="shared" si="148"/>
        <v>-13.810139076274449</v>
      </c>
      <c r="R353" s="370">
        <f t="shared" si="149"/>
        <v>-195.16934507780789</v>
      </c>
      <c r="S353" s="372">
        <f t="shared" si="150"/>
        <v>-15.16934507780789</v>
      </c>
      <c r="U353" s="345">
        <f t="shared" si="156"/>
        <v>27542</v>
      </c>
      <c r="V353" s="345">
        <f t="shared" si="157"/>
        <v>758561764</v>
      </c>
      <c r="X353" s="371">
        <f t="shared" si="151"/>
        <v>14.474303412132352</v>
      </c>
      <c r="Y353" s="372">
        <f t="shared" si="152"/>
        <v>-49.300900804111315</v>
      </c>
      <c r="AA353" s="371">
        <f t="shared" si="153"/>
        <v>29.216782779427199</v>
      </c>
      <c r="AB353" s="372">
        <f t="shared" si="154"/>
        <v>-145.86844427369664</v>
      </c>
      <c r="AD353">
        <f t="shared" si="158"/>
        <v>0</v>
      </c>
      <c r="AE353">
        <f t="shared" si="161"/>
        <v>0</v>
      </c>
    </row>
    <row r="354" spans="1:31" x14ac:dyDescent="0.2">
      <c r="A354" s="373">
        <v>27702.5</v>
      </c>
      <c r="B354" s="390">
        <f t="shared" si="155"/>
        <v>27.702500000000001</v>
      </c>
      <c r="C354" s="363">
        <f t="shared" si="136"/>
        <v>39.107383216574931</v>
      </c>
      <c r="D354" s="364">
        <f t="shared" si="137"/>
        <v>1.5452229202943382</v>
      </c>
      <c r="E354" s="364">
        <f t="shared" si="138"/>
        <v>1.0215808742796928</v>
      </c>
      <c r="F354" s="365">
        <f t="shared" si="139"/>
        <v>0.20591152509043226</v>
      </c>
      <c r="G354" s="364">
        <f t="shared" si="140"/>
        <v>1.2959015975056714</v>
      </c>
      <c r="H354" s="365">
        <f t="shared" si="141"/>
        <v>-0.68934382451566745</v>
      </c>
      <c r="I354" s="363">
        <f t="shared" si="142"/>
        <v>114915.11613879782</v>
      </c>
      <c r="J354" s="366">
        <f t="shared" si="143"/>
        <v>1.570787624719542</v>
      </c>
      <c r="K354" s="374">
        <f t="shared" si="159"/>
        <v>35.569283952952873</v>
      </c>
      <c r="L354" s="375">
        <f t="shared" si="160"/>
        <v>1.5426784770684243</v>
      </c>
      <c r="M354" s="363">
        <f t="shared" si="144"/>
        <v>1.4900532821004748</v>
      </c>
      <c r="N354" s="366">
        <f t="shared" si="145"/>
        <v>0.83508193727539581</v>
      </c>
      <c r="O354" s="367">
        <f t="shared" si="146"/>
        <v>1.0968704141024777</v>
      </c>
      <c r="P354" s="368">
        <f t="shared" si="147"/>
        <v>0.52183299958125406</v>
      </c>
      <c r="Q354" s="369">
        <f t="shared" si="148"/>
        <v>-13.874416593105872</v>
      </c>
      <c r="R354" s="370">
        <f t="shared" si="149"/>
        <v>-195.58941696687549</v>
      </c>
      <c r="S354" s="372">
        <f t="shared" si="150"/>
        <v>-15.58941696687549</v>
      </c>
      <c r="U354" s="345">
        <f t="shared" si="156"/>
        <v>27702.5</v>
      </c>
      <c r="V354" s="345">
        <f t="shared" si="157"/>
        <v>767428506.25</v>
      </c>
      <c r="X354" s="371">
        <f t="shared" si="151"/>
        <v>14.446597607139577</v>
      </c>
      <c r="Y354" s="372">
        <f t="shared" si="152"/>
        <v>-49.457206136120924</v>
      </c>
      <c r="AA354" s="371">
        <f t="shared" si="153"/>
        <v>29.180211067588552</v>
      </c>
      <c r="AB354" s="372">
        <f t="shared" si="154"/>
        <v>-146.13221083075456</v>
      </c>
      <c r="AD354">
        <f t="shared" si="158"/>
        <v>0</v>
      </c>
      <c r="AE354">
        <f t="shared" si="161"/>
        <v>0</v>
      </c>
    </row>
    <row r="355" spans="1:31" x14ac:dyDescent="0.2">
      <c r="A355" s="373">
        <v>27863</v>
      </c>
      <c r="B355" s="390">
        <f t="shared" si="155"/>
        <v>27.863</v>
      </c>
      <c r="C355" s="363">
        <f t="shared" si="136"/>
        <v>39.333811976962835</v>
      </c>
      <c r="D355" s="364">
        <f t="shared" si="137"/>
        <v>1.5453701678207012</v>
      </c>
      <c r="E355" s="364">
        <f t="shared" si="138"/>
        <v>1.0218289858437952</v>
      </c>
      <c r="F355" s="365">
        <f t="shared" si="139"/>
        <v>0.20707079690329047</v>
      </c>
      <c r="G355" s="364">
        <f t="shared" si="140"/>
        <v>1.2989441030492936</v>
      </c>
      <c r="H355" s="365">
        <f t="shared" si="141"/>
        <v>-0.69218072732825975</v>
      </c>
      <c r="I355" s="363">
        <f t="shared" si="142"/>
        <v>115580.89995393668</v>
      </c>
      <c r="J355" s="366">
        <f t="shared" si="143"/>
        <v>1.5707876748463445</v>
      </c>
      <c r="K355" s="374">
        <f t="shared" si="159"/>
        <v>35.775199330273104</v>
      </c>
      <c r="L355" s="375">
        <f t="shared" si="160"/>
        <v>1.5428403604660046</v>
      </c>
      <c r="M355" s="363">
        <f t="shared" si="144"/>
        <v>1.4948041252235538</v>
      </c>
      <c r="N355" s="366">
        <f t="shared" si="145"/>
        <v>0.83795534037493402</v>
      </c>
      <c r="O355" s="367">
        <f t="shared" si="146"/>
        <v>1.0979588200530084</v>
      </c>
      <c r="P355" s="368">
        <f t="shared" si="147"/>
        <v>0.5245932638568549</v>
      </c>
      <c r="Q355" s="369">
        <f t="shared" si="148"/>
        <v>-13.938387971161363</v>
      </c>
      <c r="R355" s="370">
        <f t="shared" si="149"/>
        <v>-196.00748780539828</v>
      </c>
      <c r="S355" s="372">
        <f t="shared" si="150"/>
        <v>-16.007487805398284</v>
      </c>
      <c r="U355" s="345">
        <f t="shared" si="156"/>
        <v>27863</v>
      </c>
      <c r="V355" s="345">
        <f t="shared" si="157"/>
        <v>776346769</v>
      </c>
      <c r="X355" s="371">
        <f t="shared" si="151"/>
        <v>14.418908388328248</v>
      </c>
      <c r="Y355" s="372">
        <f t="shared" si="152"/>
        <v>-49.612567643341457</v>
      </c>
      <c r="AA355" s="371">
        <f t="shared" si="153"/>
        <v>29.143928908344389</v>
      </c>
      <c r="AB355" s="372">
        <f t="shared" si="154"/>
        <v>-146.39492016205685</v>
      </c>
      <c r="AD355">
        <f t="shared" si="158"/>
        <v>0</v>
      </c>
      <c r="AE355">
        <f t="shared" si="161"/>
        <v>0</v>
      </c>
    </row>
    <row r="356" spans="1:31" x14ac:dyDescent="0.2">
      <c r="A356" s="373">
        <v>28023.5</v>
      </c>
      <c r="B356" s="390">
        <f t="shared" si="155"/>
        <v>28.023499999999999</v>
      </c>
      <c r="C356" s="363">
        <f t="shared" si="136"/>
        <v>39.560241580417319</v>
      </c>
      <c r="D356" s="364">
        <f t="shared" si="137"/>
        <v>1.5455157297589164</v>
      </c>
      <c r="E356" s="364">
        <f t="shared" si="138"/>
        <v>1.0220784699874574</v>
      </c>
      <c r="F356" s="365">
        <f t="shared" si="139"/>
        <v>0.20822950432803816</v>
      </c>
      <c r="G356" s="364">
        <f t="shared" si="140"/>
        <v>1.3019970136114856</v>
      </c>
      <c r="H356" s="365">
        <f t="shared" si="141"/>
        <v>-0.6950043488898372</v>
      </c>
      <c r="I356" s="363">
        <f t="shared" si="142"/>
        <v>116246.68376907583</v>
      </c>
      <c r="J356" s="366">
        <f t="shared" si="143"/>
        <v>1.5707877243989607</v>
      </c>
      <c r="K356" s="374">
        <f t="shared" si="159"/>
        <v>35.98111563439582</v>
      </c>
      <c r="L356" s="375">
        <f t="shared" si="160"/>
        <v>1.5430003909829495</v>
      </c>
      <c r="M356" s="363">
        <f t="shared" si="144"/>
        <v>1.4995672318550413</v>
      </c>
      <c r="N356" s="366">
        <f t="shared" si="145"/>
        <v>0.84081051322333356</v>
      </c>
      <c r="O356" s="367">
        <f t="shared" si="146"/>
        <v>1.0990527254571818</v>
      </c>
      <c r="P356" s="368">
        <f t="shared" si="147"/>
        <v>0.52734954991562266</v>
      </c>
      <c r="Q356" s="369">
        <f t="shared" si="148"/>
        <v>-14.002056327855122</v>
      </c>
      <c r="R356" s="370">
        <f t="shared" si="149"/>
        <v>-196.42356712211645</v>
      </c>
      <c r="S356" s="372">
        <f t="shared" si="150"/>
        <v>-16.423567122116452</v>
      </c>
      <c r="U356" s="345">
        <f t="shared" si="156"/>
        <v>28023.5</v>
      </c>
      <c r="V356" s="345">
        <f t="shared" si="157"/>
        <v>785316552.25</v>
      </c>
      <c r="X356" s="371">
        <f t="shared" si="151"/>
        <v>14.391236549311618</v>
      </c>
      <c r="Y356" s="372">
        <f t="shared" si="152"/>
        <v>-49.766990763453073</v>
      </c>
      <c r="AA356" s="371">
        <f t="shared" si="153"/>
        <v>29.107932390667266</v>
      </c>
      <c r="AB356" s="372">
        <f t="shared" si="154"/>
        <v>-146.65657635866341</v>
      </c>
      <c r="AD356">
        <f t="shared" si="158"/>
        <v>0</v>
      </c>
      <c r="AE356">
        <f t="shared" si="161"/>
        <v>0</v>
      </c>
    </row>
    <row r="357" spans="1:31" x14ac:dyDescent="0.2">
      <c r="A357" s="373">
        <v>28184</v>
      </c>
      <c r="B357" s="390">
        <f t="shared" si="155"/>
        <v>28.184000000000001</v>
      </c>
      <c r="C357" s="363">
        <f t="shared" si="136"/>
        <v>39.786672012544493</v>
      </c>
      <c r="D357" s="364">
        <f t="shared" si="137"/>
        <v>1.5456596348813778</v>
      </c>
      <c r="E357" s="364">
        <f t="shared" si="138"/>
        <v>1.0223293257058073</v>
      </c>
      <c r="F357" s="365">
        <f t="shared" si="139"/>
        <v>0.20938764466764248</v>
      </c>
      <c r="G357" s="364">
        <f t="shared" si="140"/>
        <v>1.3050602561712734</v>
      </c>
      <c r="H357" s="365">
        <f t="shared" si="141"/>
        <v>-0.69781473753950762</v>
      </c>
      <c r="I357" s="363">
        <f t="shared" si="142"/>
        <v>116912.46758421526</v>
      </c>
      <c r="J357" s="366">
        <f t="shared" si="143"/>
        <v>1.5707877733872004</v>
      </c>
      <c r="K357" s="374">
        <f t="shared" si="159"/>
        <v>36.187032849499559</v>
      </c>
      <c r="L357" s="375">
        <f t="shared" si="160"/>
        <v>1.5431586002416608</v>
      </c>
      <c r="M357" s="363">
        <f t="shared" si="144"/>
        <v>1.5043424855073755</v>
      </c>
      <c r="N357" s="366">
        <f t="shared" si="145"/>
        <v>0.84364758265388495</v>
      </c>
      <c r="O357" s="367">
        <f t="shared" si="146"/>
        <v>1.1001521190719892</v>
      </c>
      <c r="P357" s="368">
        <f t="shared" si="147"/>
        <v>0.53010184924065562</v>
      </c>
      <c r="Q357" s="369">
        <f t="shared" si="148"/>
        <v>-14.065424731569307</v>
      </c>
      <c r="R357" s="370">
        <f t="shared" si="149"/>
        <v>-196.83766445748404</v>
      </c>
      <c r="S357" s="372">
        <f t="shared" si="150"/>
        <v>-16.837664457484038</v>
      </c>
      <c r="U357" s="345">
        <f t="shared" si="156"/>
        <v>28184</v>
      </c>
      <c r="V357" s="345">
        <f t="shared" si="157"/>
        <v>794337856</v>
      </c>
      <c r="X357" s="371">
        <f t="shared" si="151"/>
        <v>14.363582867022892</v>
      </c>
      <c r="Y357" s="372">
        <f t="shared" si="152"/>
        <v>-49.920480952199974</v>
      </c>
      <c r="AA357" s="371">
        <f t="shared" si="153"/>
        <v>29.072217669241805</v>
      </c>
      <c r="AB357" s="372">
        <f t="shared" si="154"/>
        <v>-146.91718350528407</v>
      </c>
      <c r="AD357">
        <f t="shared" si="158"/>
        <v>0</v>
      </c>
      <c r="AE357">
        <f t="shared" si="161"/>
        <v>0</v>
      </c>
    </row>
    <row r="358" spans="1:31" x14ac:dyDescent="0.2">
      <c r="A358" s="373">
        <v>28348</v>
      </c>
      <c r="B358" s="390">
        <f t="shared" si="155"/>
        <v>28.347999999999999</v>
      </c>
      <c r="C358" s="363">
        <f t="shared" si="136"/>
        <v>40.018041021292049</v>
      </c>
      <c r="D358" s="364">
        <f t="shared" si="137"/>
        <v>1.5458049959726461</v>
      </c>
      <c r="E358" s="364">
        <f t="shared" si="138"/>
        <v>1.0225870675132054</v>
      </c>
      <c r="F358" s="365">
        <f t="shared" si="139"/>
        <v>0.21057045183754897</v>
      </c>
      <c r="G358" s="364">
        <f t="shared" si="140"/>
        <v>1.3082008953128752</v>
      </c>
      <c r="H358" s="365">
        <f t="shared" si="141"/>
        <v>-0.70067279370894375</v>
      </c>
      <c r="I358" s="363">
        <f t="shared" si="142"/>
        <v>117592.77004952937</v>
      </c>
      <c r="J358" s="366">
        <f t="shared" si="143"/>
        <v>1.5707878228707217</v>
      </c>
      <c r="K358" s="374">
        <f t="shared" si="159"/>
        <v>36.397441396072225</v>
      </c>
      <c r="L358" s="375">
        <f t="shared" si="160"/>
        <v>1.5433184104348674</v>
      </c>
      <c r="M358" s="363">
        <f t="shared" si="144"/>
        <v>1.5092342996917121</v>
      </c>
      <c r="N358" s="366">
        <f t="shared" si="145"/>
        <v>0.84652795125868663</v>
      </c>
      <c r="O358" s="367">
        <f t="shared" si="146"/>
        <v>1.1012811443329911</v>
      </c>
      <c r="P358" s="368">
        <f t="shared" si="147"/>
        <v>0.53291004077929671</v>
      </c>
      <c r="Q358" s="369">
        <f t="shared" si="148"/>
        <v>-14.129868307323143</v>
      </c>
      <c r="R358" s="370">
        <f t="shared" si="149"/>
        <v>-197.25875460563549</v>
      </c>
      <c r="S358" s="372">
        <f t="shared" si="150"/>
        <v>-17.258754605635488</v>
      </c>
      <c r="U358" s="345">
        <f t="shared" si="156"/>
        <v>28348</v>
      </c>
      <c r="V358" s="345">
        <f t="shared" si="157"/>
        <v>803609104</v>
      </c>
      <c r="X358" s="371">
        <f t="shared" si="151"/>
        <v>14.335345691061958</v>
      </c>
      <c r="Y358" s="372">
        <f t="shared" si="152"/>
        <v>-50.076360302478228</v>
      </c>
      <c r="AA358" s="371">
        <f t="shared" si="153"/>
        <v>29.036011269448899</v>
      </c>
      <c r="AB358" s="372">
        <f t="shared" si="154"/>
        <v>-147.18239430315722</v>
      </c>
      <c r="AD358">
        <f t="shared" si="158"/>
        <v>0</v>
      </c>
      <c r="AE358">
        <f t="shared" si="161"/>
        <v>0</v>
      </c>
    </row>
    <row r="359" spans="1:31" x14ac:dyDescent="0.2">
      <c r="A359" s="373">
        <v>28512</v>
      </c>
      <c r="B359" s="390">
        <f t="shared" si="155"/>
        <v>28.512</v>
      </c>
      <c r="C359" s="363">
        <f t="shared" si="136"/>
        <v>40.249410865893282</v>
      </c>
      <c r="D359" s="364">
        <f t="shared" si="137"/>
        <v>1.5459486858785798</v>
      </c>
      <c r="E359" s="364">
        <f t="shared" si="138"/>
        <v>1.02284623923129</v>
      </c>
      <c r="F359" s="365">
        <f t="shared" si="139"/>
        <v>0.21175266125455225</v>
      </c>
      <c r="G359" s="364">
        <f t="shared" si="140"/>
        <v>1.3113521692379486</v>
      </c>
      <c r="H359" s="365">
        <f t="shared" si="141"/>
        <v>-0.70351713678895067</v>
      </c>
      <c r="I359" s="363">
        <f t="shared" si="142"/>
        <v>118273.07251484375</v>
      </c>
      <c r="J359" s="366">
        <f t="shared" si="143"/>
        <v>1.5707878717849881</v>
      </c>
      <c r="K359" s="374">
        <f t="shared" si="159"/>
        <v>36.607850861524376</v>
      </c>
      <c r="L359" s="375">
        <f t="shared" si="160"/>
        <v>1.5434763835628875</v>
      </c>
      <c r="M359" s="363">
        <f t="shared" si="144"/>
        <v>1.5141385543060148</v>
      </c>
      <c r="N359" s="366">
        <f t="shared" si="145"/>
        <v>0.84938968460305264</v>
      </c>
      <c r="O359" s="367">
        <f t="shared" si="146"/>
        <v>1.1024158760185214</v>
      </c>
      <c r="P359" s="368">
        <f t="shared" si="147"/>
        <v>0.5357140523683469</v>
      </c>
      <c r="Q359" s="369">
        <f t="shared" si="148"/>
        <v>-14.19400503070845</v>
      </c>
      <c r="R359" s="370">
        <f t="shared" si="149"/>
        <v>-197.67779555671106</v>
      </c>
      <c r="S359" s="372">
        <f t="shared" si="150"/>
        <v>-17.677795556711061</v>
      </c>
      <c r="U359" s="345">
        <f t="shared" si="156"/>
        <v>28512</v>
      </c>
      <c r="V359" s="345">
        <f t="shared" si="157"/>
        <v>812934144</v>
      </c>
      <c r="X359" s="371">
        <f t="shared" si="151"/>
        <v>14.307129060189434</v>
      </c>
      <c r="Y359" s="372">
        <f t="shared" si="152"/>
        <v>-50.231277154448257</v>
      </c>
      <c r="AA359" s="371">
        <f t="shared" si="153"/>
        <v>29.000091176936117</v>
      </c>
      <c r="AB359" s="372">
        <f t="shared" si="154"/>
        <v>-147.44651840226277</v>
      </c>
      <c r="AD359">
        <f t="shared" si="158"/>
        <v>0</v>
      </c>
      <c r="AE359">
        <f t="shared" si="161"/>
        <v>0</v>
      </c>
    </row>
    <row r="360" spans="1:31" x14ac:dyDescent="0.2">
      <c r="A360" s="373">
        <v>28676</v>
      </c>
      <c r="B360" s="390">
        <f t="shared" si="155"/>
        <v>28.675999999999998</v>
      </c>
      <c r="C360" s="363">
        <f t="shared" si="136"/>
        <v>40.480781532016124</v>
      </c>
      <c r="D360" s="364">
        <f t="shared" si="137"/>
        <v>1.5460907332485152</v>
      </c>
      <c r="E360" s="364">
        <f t="shared" si="138"/>
        <v>1.0231068397733936</v>
      </c>
      <c r="F360" s="365">
        <f t="shared" si="139"/>
        <v>0.21293427006962146</v>
      </c>
      <c r="G360" s="364">
        <f t="shared" si="140"/>
        <v>1.314514001462451</v>
      </c>
      <c r="H360" s="365">
        <f t="shared" si="141"/>
        <v>-0.70634781954442205</v>
      </c>
      <c r="I360" s="363">
        <f t="shared" si="142"/>
        <v>118953.37498015842</v>
      </c>
      <c r="J360" s="366">
        <f t="shared" si="143"/>
        <v>1.5707879201397665</v>
      </c>
      <c r="K360" s="374">
        <f t="shared" si="159"/>
        <v>36.81826123010233</v>
      </c>
      <c r="L360" s="375">
        <f t="shared" si="160"/>
        <v>1.5436325511133533</v>
      </c>
      <c r="M360" s="363">
        <f t="shared" si="144"/>
        <v>1.5190551288588698</v>
      </c>
      <c r="N360" s="366">
        <f t="shared" si="145"/>
        <v>0.85223291653180711</v>
      </c>
      <c r="O360" s="367">
        <f t="shared" si="146"/>
        <v>1.1035563021110992</v>
      </c>
      <c r="P360" s="368">
        <f t="shared" si="147"/>
        <v>0.53851387546188689</v>
      </c>
      <c r="Q360" s="369">
        <f t="shared" si="148"/>
        <v>-14.257838023666379</v>
      </c>
      <c r="R360" s="370">
        <f t="shared" si="149"/>
        <v>-198.09479751418954</v>
      </c>
      <c r="S360" s="372">
        <f t="shared" si="150"/>
        <v>-18.094797514189537</v>
      </c>
      <c r="U360" s="345">
        <f t="shared" si="156"/>
        <v>28676</v>
      </c>
      <c r="V360" s="345">
        <f t="shared" si="157"/>
        <v>822312976</v>
      </c>
      <c r="X360" s="371">
        <f t="shared" si="151"/>
        <v>14.278933750899458</v>
      </c>
      <c r="Y360" s="372">
        <f t="shared" si="152"/>
        <v>-50.38523737330479</v>
      </c>
      <c r="AA360" s="371">
        <f t="shared" si="153"/>
        <v>28.964453493268163</v>
      </c>
      <c r="AB360" s="372">
        <f t="shared" si="154"/>
        <v>-147.70956014088475</v>
      </c>
      <c r="AD360">
        <f t="shared" si="158"/>
        <v>0</v>
      </c>
      <c r="AE360">
        <f t="shared" si="161"/>
        <v>0</v>
      </c>
    </row>
    <row r="361" spans="1:31" x14ac:dyDescent="0.2">
      <c r="A361" s="373">
        <v>28840</v>
      </c>
      <c r="B361" s="390">
        <f t="shared" si="155"/>
        <v>28.84</v>
      </c>
      <c r="C361" s="363">
        <f t="shared" si="136"/>
        <v>40.712153005654244</v>
      </c>
      <c r="D361" s="364">
        <f t="shared" si="137"/>
        <v>1.5462311660807884</v>
      </c>
      <c r="E361" s="364">
        <f t="shared" si="138"/>
        <v>1.0233688680479671</v>
      </c>
      <c r="F361" s="365">
        <f t="shared" si="139"/>
        <v>0.21411527544332826</v>
      </c>
      <c r="G361" s="364">
        <f t="shared" si="140"/>
        <v>1.3176863159814109</v>
      </c>
      <c r="H361" s="365">
        <f t="shared" si="141"/>
        <v>-0.70916489511031822</v>
      </c>
      <c r="I361" s="363">
        <f t="shared" si="142"/>
        <v>119633.67744547335</v>
      </c>
      <c r="J361" s="366">
        <f t="shared" si="143"/>
        <v>1.5707879679446015</v>
      </c>
      <c r="K361" s="374">
        <f t="shared" si="159"/>
        <v>37.028672486410429</v>
      </c>
      <c r="L361" s="375">
        <f t="shared" si="160"/>
        <v>1.5437869438585547</v>
      </c>
      <c r="M361" s="363">
        <f t="shared" si="144"/>
        <v>1.5239839041130057</v>
      </c>
      <c r="N361" s="366">
        <f t="shared" si="145"/>
        <v>0.85505778036130098</v>
      </c>
      <c r="O361" s="367">
        <f t="shared" si="146"/>
        <v>1.1047024105868712</v>
      </c>
      <c r="P361" s="368">
        <f t="shared" si="147"/>
        <v>0.54130950169441516</v>
      </c>
      <c r="Q361" s="369">
        <f t="shared" si="148"/>
        <v>-14.321370359330048</v>
      </c>
      <c r="R361" s="370">
        <f t="shared" si="149"/>
        <v>-198.50977068593454</v>
      </c>
      <c r="S361" s="372">
        <f t="shared" si="150"/>
        <v>-18.509770685934541</v>
      </c>
      <c r="U361" s="345">
        <f t="shared" si="156"/>
        <v>28840</v>
      </c>
      <c r="V361" s="345">
        <f t="shared" si="157"/>
        <v>831745600</v>
      </c>
      <c r="X361" s="371">
        <f t="shared" si="151"/>
        <v>14.250760522567056</v>
      </c>
      <c r="Y361" s="372">
        <f t="shared" si="152"/>
        <v>-50.538246834936587</v>
      </c>
      <c r="AA361" s="371">
        <f t="shared" si="153"/>
        <v>28.929094385936899</v>
      </c>
      <c r="AB361" s="372">
        <f t="shared" si="154"/>
        <v>-147.97152385099793</v>
      </c>
      <c r="AD361">
        <f t="shared" si="158"/>
        <v>0</v>
      </c>
      <c r="AE361">
        <f t="shared" si="161"/>
        <v>0</v>
      </c>
    </row>
    <row r="362" spans="1:31" x14ac:dyDescent="0.2">
      <c r="A362" s="373">
        <v>29008</v>
      </c>
      <c r="B362" s="390">
        <f t="shared" si="155"/>
        <v>29.007999999999999</v>
      </c>
      <c r="C362" s="363">
        <f t="shared" si="136"/>
        <v>40.949168508957023</v>
      </c>
      <c r="D362" s="364">
        <f t="shared" si="137"/>
        <v>1.5463733786195413</v>
      </c>
      <c r="E362" s="364">
        <f t="shared" si="138"/>
        <v>1.0236387665011992</v>
      </c>
      <c r="F362" s="365">
        <f t="shared" si="139"/>
        <v>0.2153244571702157</v>
      </c>
      <c r="G362" s="364">
        <f t="shared" si="140"/>
        <v>1.3209467939913366</v>
      </c>
      <c r="H362" s="365">
        <f t="shared" si="141"/>
        <v>-0.71203662669059098</v>
      </c>
      <c r="I362" s="363">
        <f t="shared" si="142"/>
        <v>120330.57265384504</v>
      </c>
      <c r="J362" s="366">
        <f t="shared" si="143"/>
        <v>1.5707880163549315</v>
      </c>
      <c r="K362" s="374">
        <f t="shared" si="159"/>
        <v>37.24421662932437</v>
      </c>
      <c r="L362" s="375">
        <f t="shared" si="160"/>
        <v>1.5439432934510917</v>
      </c>
      <c r="M362" s="363">
        <f t="shared" si="144"/>
        <v>1.5290454207626523</v>
      </c>
      <c r="N362" s="366">
        <f t="shared" si="145"/>
        <v>0.85793263652701413</v>
      </c>
      <c r="O362" s="367">
        <f t="shared" si="146"/>
        <v>1.1058823523186472</v>
      </c>
      <c r="P362" s="368">
        <f t="shared" si="147"/>
        <v>0.54416895372385676</v>
      </c>
      <c r="Q362" s="369">
        <f t="shared" si="148"/>
        <v>-14.386143679978101</v>
      </c>
      <c r="R362" s="370">
        <f t="shared" si="149"/>
        <v>-198.93277221444765</v>
      </c>
      <c r="S362" s="372">
        <f t="shared" si="150"/>
        <v>-18.932772214447652</v>
      </c>
      <c r="U362" s="345">
        <f t="shared" si="156"/>
        <v>29008</v>
      </c>
      <c r="V362" s="345">
        <f t="shared" si="157"/>
        <v>841464064</v>
      </c>
      <c r="X362" s="371">
        <f t="shared" si="151"/>
        <v>14.221923813749136</v>
      </c>
      <c r="Y362" s="372">
        <f t="shared" si="152"/>
        <v>-50.694008562043742</v>
      </c>
      <c r="AA362" s="371">
        <f t="shared" si="153"/>
        <v>28.893157774106761</v>
      </c>
      <c r="AB362" s="372">
        <f t="shared" si="154"/>
        <v>-148.23876365240386</v>
      </c>
      <c r="AD362">
        <f t="shared" si="158"/>
        <v>0</v>
      </c>
      <c r="AE362">
        <f t="shared" si="161"/>
        <v>0</v>
      </c>
    </row>
    <row r="363" spans="1:31" x14ac:dyDescent="0.2">
      <c r="A363" s="373">
        <v>29176</v>
      </c>
      <c r="B363" s="390">
        <f t="shared" si="155"/>
        <v>29.175999999999998</v>
      </c>
      <c r="C363" s="363">
        <f t="shared" si="136"/>
        <v>41.186184830900586</v>
      </c>
      <c r="D363" s="364">
        <f t="shared" si="137"/>
        <v>1.5465139543650337</v>
      </c>
      <c r="E363" s="364">
        <f t="shared" si="138"/>
        <v>1.0239101608472885</v>
      </c>
      <c r="F363" s="365">
        <f t="shared" si="139"/>
        <v>0.21653299965969192</v>
      </c>
      <c r="G363" s="364">
        <f t="shared" si="140"/>
        <v>1.3242181119444165</v>
      </c>
      <c r="H363" s="365">
        <f t="shared" si="141"/>
        <v>-0.71489419322074377</v>
      </c>
      <c r="I363" s="363">
        <f t="shared" si="142"/>
        <v>121027.46786221699</v>
      </c>
      <c r="J363" s="366">
        <f t="shared" si="143"/>
        <v>1.5707880642077527</v>
      </c>
      <c r="K363" s="374">
        <f t="shared" si="159"/>
        <v>37.45976167220303</v>
      </c>
      <c r="L363" s="375">
        <f t="shared" si="160"/>
        <v>1.5440978437631185</v>
      </c>
      <c r="M363" s="363">
        <f t="shared" si="144"/>
        <v>1.5341194912149951</v>
      </c>
      <c r="N363" s="366">
        <f t="shared" si="145"/>
        <v>0.86078849910407851</v>
      </c>
      <c r="O363" s="367">
        <f t="shared" si="146"/>
        <v>1.1070682314428966</v>
      </c>
      <c r="P363" s="368">
        <f t="shared" si="147"/>
        <v>0.5470239844761422</v>
      </c>
      <c r="Q363" s="369">
        <f t="shared" si="148"/>
        <v>-14.450607874313665</v>
      </c>
      <c r="R363" s="370">
        <f t="shared" si="149"/>
        <v>-199.35366647587784</v>
      </c>
      <c r="S363" s="372">
        <f t="shared" si="150"/>
        <v>-19.353666475877844</v>
      </c>
      <c r="U363" s="345">
        <f t="shared" si="156"/>
        <v>29176</v>
      </c>
      <c r="V363" s="345">
        <f t="shared" si="157"/>
        <v>851238976</v>
      </c>
      <c r="X363" s="371">
        <f t="shared" si="151"/>
        <v>14.193111835391356</v>
      </c>
      <c r="Y363" s="372">
        <f t="shared" si="152"/>
        <v>-50.848785095918863</v>
      </c>
      <c r="AA363" s="371">
        <f t="shared" si="153"/>
        <v>28.857505558128981</v>
      </c>
      <c r="AB363" s="372">
        <f t="shared" si="154"/>
        <v>-148.50488137995896</v>
      </c>
      <c r="AD363">
        <f t="shared" si="158"/>
        <v>0</v>
      </c>
      <c r="AE363">
        <f t="shared" si="161"/>
        <v>0</v>
      </c>
    </row>
    <row r="364" spans="1:31" x14ac:dyDescent="0.2">
      <c r="A364" s="373">
        <v>29344</v>
      </c>
      <c r="B364" s="390">
        <f t="shared" si="155"/>
        <v>29.344000000000001</v>
      </c>
      <c r="C364" s="363">
        <f t="shared" si="136"/>
        <v>41.423201957432575</v>
      </c>
      <c r="D364" s="364">
        <f t="shared" si="137"/>
        <v>1.5466529214080915</v>
      </c>
      <c r="E364" s="364">
        <f t="shared" si="138"/>
        <v>1.0241830498970628</v>
      </c>
      <c r="F364" s="365">
        <f t="shared" si="139"/>
        <v>0.21774089989099923</v>
      </c>
      <c r="G364" s="364">
        <f t="shared" si="140"/>
        <v>1.3275001897030354</v>
      </c>
      <c r="H364" s="365">
        <f t="shared" si="141"/>
        <v>-0.7177376529244075</v>
      </c>
      <c r="I364" s="363">
        <f t="shared" si="142"/>
        <v>121724.36307058923</v>
      </c>
      <c r="J364" s="366">
        <f t="shared" si="143"/>
        <v>1.570788111512641</v>
      </c>
      <c r="K364" s="374">
        <f t="shared" si="159"/>
        <v>37.675307599600004</v>
      </c>
      <c r="L364" s="375">
        <f t="shared" si="160"/>
        <v>1.5442506256690265</v>
      </c>
      <c r="M364" s="363">
        <f t="shared" si="144"/>
        <v>1.5392059913173017</v>
      </c>
      <c r="N364" s="366">
        <f t="shared" si="145"/>
        <v>0.86362550957721362</v>
      </c>
      <c r="O364" s="367">
        <f t="shared" si="146"/>
        <v>1.1082600350178127</v>
      </c>
      <c r="P364" s="368">
        <f t="shared" si="147"/>
        <v>0.54987458554183644</v>
      </c>
      <c r="Q364" s="369">
        <f t="shared" si="148"/>
        <v>-14.514766093552495</v>
      </c>
      <c r="R364" s="370">
        <f t="shared" si="149"/>
        <v>-199.77246444498442</v>
      </c>
      <c r="S364" s="372">
        <f t="shared" si="150"/>
        <v>-19.772464444984422</v>
      </c>
      <c r="U364" s="345">
        <f t="shared" si="156"/>
        <v>29344</v>
      </c>
      <c r="V364" s="345">
        <f t="shared" si="157"/>
        <v>861070336</v>
      </c>
      <c r="X364" s="371">
        <f t="shared" si="151"/>
        <v>14.164325349651977</v>
      </c>
      <c r="Y364" s="372">
        <f t="shared" si="152"/>
        <v>-51.002582774615611</v>
      </c>
      <c r="AA364" s="371">
        <f t="shared" si="153"/>
        <v>28.822133824629535</v>
      </c>
      <c r="AB364" s="372">
        <f t="shared" si="154"/>
        <v>-148.76988167036885</v>
      </c>
      <c r="AD364">
        <f t="shared" si="158"/>
        <v>0</v>
      </c>
      <c r="AE364">
        <f t="shared" si="161"/>
        <v>0</v>
      </c>
    </row>
    <row r="365" spans="1:31" x14ac:dyDescent="0.2">
      <c r="A365" s="373">
        <v>29512</v>
      </c>
      <c r="B365" s="390">
        <f t="shared" si="155"/>
        <v>29.512</v>
      </c>
      <c r="C365" s="363">
        <f t="shared" si="136"/>
        <v>41.660219874820378</v>
      </c>
      <c r="D365" s="364">
        <f t="shared" si="137"/>
        <v>1.5467903072005227</v>
      </c>
      <c r="E365" s="364">
        <f t="shared" si="138"/>
        <v>1.0244574324560702</v>
      </c>
      <c r="F365" s="365">
        <f t="shared" si="139"/>
        <v>0.21894815485408642</v>
      </c>
      <c r="G365" s="364">
        <f t="shared" si="140"/>
        <v>1.3307929476578504</v>
      </c>
      <c r="H365" s="365">
        <f t="shared" si="141"/>
        <v>-0.72056706436424844</v>
      </c>
      <c r="I365" s="363">
        <f t="shared" si="142"/>
        <v>122421.25827896173</v>
      </c>
      <c r="J365" s="366">
        <f t="shared" si="143"/>
        <v>1.5707881582789536</v>
      </c>
      <c r="K365" s="374">
        <f t="shared" si="159"/>
        <v>37.890854396420259</v>
      </c>
      <c r="L365" s="375">
        <f t="shared" si="160"/>
        <v>1.5444016693410101</v>
      </c>
      <c r="M365" s="363">
        <f t="shared" si="144"/>
        <v>1.5443047982503972</v>
      </c>
      <c r="N365" s="366">
        <f t="shared" si="145"/>
        <v>0.86644380878329619</v>
      </c>
      <c r="O365" s="367">
        <f t="shared" si="146"/>
        <v>1.1094577500974421</v>
      </c>
      <c r="P365" s="368">
        <f t="shared" si="147"/>
        <v>0.55272074870628374</v>
      </c>
      <c r="Q365" s="369">
        <f t="shared" si="148"/>
        <v>-14.57862143978417</v>
      </c>
      <c r="R365" s="370">
        <f t="shared" si="149"/>
        <v>-200.18917709298731</v>
      </c>
      <c r="S365" s="372">
        <f t="shared" si="150"/>
        <v>-20.189177092987308</v>
      </c>
      <c r="U365" s="345">
        <f t="shared" si="156"/>
        <v>29512</v>
      </c>
      <c r="V365" s="345">
        <f t="shared" si="157"/>
        <v>870958144</v>
      </c>
      <c r="X365" s="371">
        <f t="shared" si="151"/>
        <v>14.135565101002168</v>
      </c>
      <c r="Y365" s="372">
        <f t="shared" si="152"/>
        <v>-51.155407939289354</v>
      </c>
      <c r="AA365" s="371">
        <f t="shared" si="153"/>
        <v>28.787038727047666</v>
      </c>
      <c r="AB365" s="372">
        <f t="shared" si="154"/>
        <v>-149.03376915369796</v>
      </c>
      <c r="AD365">
        <f t="shared" si="158"/>
        <v>0</v>
      </c>
      <c r="AE365">
        <f t="shared" si="161"/>
        <v>0</v>
      </c>
    </row>
    <row r="366" spans="1:31" x14ac:dyDescent="0.2">
      <c r="A366" s="373">
        <v>29684</v>
      </c>
      <c r="B366" s="390">
        <f t="shared" si="155"/>
        <v>29.684000000000001</v>
      </c>
      <c r="C366" s="363">
        <f t="shared" si="136"/>
        <v>41.902881881266786</v>
      </c>
      <c r="D366" s="364">
        <f t="shared" si="137"/>
        <v>1.5469293539247282</v>
      </c>
      <c r="E366" s="364">
        <f t="shared" si="138"/>
        <v>1.0247398939525385</v>
      </c>
      <c r="F366" s="365">
        <f t="shared" si="139"/>
        <v>0.22018348235467344</v>
      </c>
      <c r="G366" s="364">
        <f t="shared" si="140"/>
        <v>1.334175086695776</v>
      </c>
      <c r="H366" s="365">
        <f t="shared" si="141"/>
        <v>-0.7234493502646534</v>
      </c>
      <c r="I366" s="363">
        <f t="shared" si="142"/>
        <v>123134.746230391</v>
      </c>
      <c r="J366" s="366">
        <f t="shared" si="143"/>
        <v>1.5707882056103355</v>
      </c>
      <c r="K366" s="374">
        <f t="shared" si="159"/>
        <v>38.111534145148163</v>
      </c>
      <c r="L366" s="375">
        <f t="shared" si="160"/>
        <v>1.5445545392742321</v>
      </c>
      <c r="M366" s="363">
        <f t="shared" si="144"/>
        <v>1.5495376283351903</v>
      </c>
      <c r="N366" s="366">
        <f t="shared" si="145"/>
        <v>0.86930997188976578</v>
      </c>
      <c r="O366" s="367">
        <f t="shared" si="146"/>
        <v>1.110690092986228</v>
      </c>
      <c r="P366" s="368">
        <f t="shared" si="147"/>
        <v>0.55563007163035516</v>
      </c>
      <c r="Q366" s="369">
        <f t="shared" si="148"/>
        <v>-14.643686564455434</v>
      </c>
      <c r="R366" s="370">
        <f t="shared" si="149"/>
        <v>-200.61366253335476</v>
      </c>
      <c r="S366" s="372">
        <f t="shared" si="150"/>
        <v>-20.613662533354756</v>
      </c>
      <c r="U366" s="345">
        <f t="shared" si="156"/>
        <v>29684</v>
      </c>
      <c r="V366" s="345">
        <f t="shared" si="157"/>
        <v>881139856</v>
      </c>
      <c r="X366" s="371">
        <f t="shared" si="151"/>
        <v>14.106148025209498</v>
      </c>
      <c r="Y366" s="372">
        <f t="shared" si="152"/>
        <v>-51.310870898764165</v>
      </c>
      <c r="AA366" s="371">
        <f t="shared" si="153"/>
        <v>28.751390678169066</v>
      </c>
      <c r="AB366" s="372">
        <f t="shared" si="154"/>
        <v>-149.30279163459059</v>
      </c>
      <c r="AD366">
        <f t="shared" si="158"/>
        <v>0</v>
      </c>
      <c r="AE366">
        <f t="shared" si="161"/>
        <v>0</v>
      </c>
    </row>
    <row r="367" spans="1:31" x14ac:dyDescent="0.2">
      <c r="A367" s="373">
        <v>29856</v>
      </c>
      <c r="B367" s="390">
        <f t="shared" si="155"/>
        <v>29.856000000000002</v>
      </c>
      <c r="C367" s="363">
        <f t="shared" si="136"/>
        <v>42.145544688533931</v>
      </c>
      <c r="D367" s="364">
        <f t="shared" si="137"/>
        <v>1.5470667994636496</v>
      </c>
      <c r="E367" s="364">
        <f t="shared" si="138"/>
        <v>1.0250239183737162</v>
      </c>
      <c r="F367" s="365">
        <f t="shared" si="139"/>
        <v>0.2214181271433979</v>
      </c>
      <c r="G367" s="364">
        <f t="shared" si="140"/>
        <v>1.3375682533835831</v>
      </c>
      <c r="H367" s="365">
        <f t="shared" si="141"/>
        <v>-0.72631703622088151</v>
      </c>
      <c r="I367" s="363">
        <f t="shared" si="142"/>
        <v>123848.23418182053</v>
      </c>
      <c r="J367" s="366">
        <f t="shared" si="143"/>
        <v>1.5707882523963668</v>
      </c>
      <c r="K367" s="374">
        <f t="shared" si="159"/>
        <v>38.332214774257906</v>
      </c>
      <c r="L367" s="375">
        <f t="shared" si="160"/>
        <v>1.5447056490500408</v>
      </c>
      <c r="M367" s="363">
        <f t="shared" si="144"/>
        <v>1.5547831019576659</v>
      </c>
      <c r="N367" s="366">
        <f t="shared" si="145"/>
        <v>0.87215681872705597</v>
      </c>
      <c r="O367" s="367">
        <f t="shared" si="146"/>
        <v>1.1119286047582715</v>
      </c>
      <c r="P367" s="368">
        <f t="shared" si="147"/>
        <v>0.55853472600387477</v>
      </c>
      <c r="Q367" s="369">
        <f t="shared" si="148"/>
        <v>-14.708440649315715</v>
      </c>
      <c r="R367" s="370">
        <f t="shared" si="149"/>
        <v>-201.03598542328842</v>
      </c>
      <c r="S367" s="372">
        <f t="shared" si="150"/>
        <v>-21.035985423288423</v>
      </c>
      <c r="U367" s="345">
        <f t="shared" si="156"/>
        <v>29856</v>
      </c>
      <c r="V367" s="345">
        <f t="shared" si="157"/>
        <v>891380736</v>
      </c>
      <c r="X367" s="371">
        <f t="shared" si="151"/>
        <v>14.076759974473196</v>
      </c>
      <c r="Y367" s="372">
        <f t="shared" si="152"/>
        <v>-51.465327935882684</v>
      </c>
      <c r="AA367" s="371">
        <f t="shared" si="153"/>
        <v>28.716024644045092</v>
      </c>
      <c r="AB367" s="372">
        <f t="shared" si="154"/>
        <v>-149.57065748740575</v>
      </c>
      <c r="AD367">
        <f t="shared" si="158"/>
        <v>0</v>
      </c>
      <c r="AE367">
        <f t="shared" si="161"/>
        <v>0</v>
      </c>
    </row>
    <row r="368" spans="1:31" x14ac:dyDescent="0.2">
      <c r="A368" s="373">
        <v>30028</v>
      </c>
      <c r="B368" s="390">
        <f t="shared" si="155"/>
        <v>30.027999999999999</v>
      </c>
      <c r="C368" s="363">
        <f t="shared" si="136"/>
        <v>42.388208282868248</v>
      </c>
      <c r="D368" s="364">
        <f t="shared" si="137"/>
        <v>1.5472026713113973</v>
      </c>
      <c r="E368" s="364">
        <f t="shared" si="138"/>
        <v>1.0253095044207505</v>
      </c>
      <c r="F368" s="365">
        <f t="shared" si="139"/>
        <v>0.22265208602513512</v>
      </c>
      <c r="G368" s="364">
        <f t="shared" si="140"/>
        <v>1.3409723640089131</v>
      </c>
      <c r="H368" s="365">
        <f t="shared" si="141"/>
        <v>-0.7291701860761115</v>
      </c>
      <c r="I368" s="363">
        <f t="shared" si="142"/>
        <v>124561.72213325034</v>
      </c>
      <c r="J368" s="366">
        <f t="shared" si="143"/>
        <v>1.5707882986464181</v>
      </c>
      <c r="K368" s="374">
        <f t="shared" si="159"/>
        <v>38.552896268631301</v>
      </c>
      <c r="L368" s="375">
        <f t="shared" si="160"/>
        <v>1.5448550288875444</v>
      </c>
      <c r="M368" s="363">
        <f t="shared" si="144"/>
        <v>1.5600410915801439</v>
      </c>
      <c r="N368" s="366">
        <f t="shared" si="145"/>
        <v>0.87498449822878899</v>
      </c>
      <c r="O368" s="367">
        <f t="shared" si="146"/>
        <v>1.1131732715118678</v>
      </c>
      <c r="P368" s="368">
        <f t="shared" si="147"/>
        <v>0.56143470363914827</v>
      </c>
      <c r="Q368" s="369">
        <f t="shared" si="148"/>
        <v>-14.772886870283893</v>
      </c>
      <c r="R368" s="370">
        <f t="shared" si="149"/>
        <v>-201.45615751235385</v>
      </c>
      <c r="S368" s="372">
        <f t="shared" si="150"/>
        <v>-21.456157512353855</v>
      </c>
      <c r="U368" s="345">
        <f t="shared" si="156"/>
        <v>30028</v>
      </c>
      <c r="V368" s="345">
        <f t="shared" si="157"/>
        <v>901680784</v>
      </c>
      <c r="X368" s="371">
        <f t="shared" si="151"/>
        <v>14.047401691982399</v>
      </c>
      <c r="Y368" s="372">
        <f t="shared" si="152"/>
        <v>-51.61878585302243</v>
      </c>
      <c r="AA368" s="371">
        <f t="shared" si="153"/>
        <v>28.680936705567706</v>
      </c>
      <c r="AB368" s="372">
        <f t="shared" si="154"/>
        <v>-149.83737165933144</v>
      </c>
      <c r="AD368">
        <f t="shared" si="158"/>
        <v>0</v>
      </c>
      <c r="AE368">
        <f t="shared" si="161"/>
        <v>0</v>
      </c>
    </row>
    <row r="369" spans="1:31" x14ac:dyDescent="0.2">
      <c r="A369" s="373">
        <v>30200</v>
      </c>
      <c r="B369" s="390">
        <f t="shared" si="155"/>
        <v>30.2</v>
      </c>
      <c r="C369" s="363">
        <f t="shared" si="136"/>
        <v>42.630872650829318</v>
      </c>
      <c r="D369" s="364">
        <f t="shared" si="137"/>
        <v>1.5473369963363077</v>
      </c>
      <c r="E369" s="364">
        <f t="shared" si="138"/>
        <v>1.0255966507890972</v>
      </c>
      <c r="F369" s="365">
        <f t="shared" si="139"/>
        <v>0.22388535581666447</v>
      </c>
      <c r="G369" s="364">
        <f t="shared" si="140"/>
        <v>1.3443873354386426</v>
      </c>
      <c r="H369" s="365">
        <f t="shared" si="141"/>
        <v>-0.73200886397459386</v>
      </c>
      <c r="I369" s="363">
        <f t="shared" si="142"/>
        <v>125275.21008468041</v>
      </c>
      <c r="J369" s="366">
        <f t="shared" si="143"/>
        <v>1.570788344369648</v>
      </c>
      <c r="K369" s="374">
        <f t="shared" si="159"/>
        <v>38.773578613494294</v>
      </c>
      <c r="L369" s="375">
        <f t="shared" si="160"/>
        <v>1.5450027083181879</v>
      </c>
      <c r="M369" s="363">
        <f t="shared" si="144"/>
        <v>1.565311471076297</v>
      </c>
      <c r="N369" s="366">
        <f t="shared" si="145"/>
        <v>0.87779315855597284</v>
      </c>
      <c r="O369" s="367">
        <f t="shared" si="146"/>
        <v>1.1144240793438838</v>
      </c>
      <c r="P369" s="368">
        <f t="shared" si="147"/>
        <v>0.5643299965578864</v>
      </c>
      <c r="Q369" s="369">
        <f t="shared" si="148"/>
        <v>-14.837028353900312</v>
      </c>
      <c r="R369" s="370">
        <f t="shared" si="149"/>
        <v>-201.874190537949</v>
      </c>
      <c r="S369" s="372">
        <f t="shared" si="150"/>
        <v>-21.874190537949005</v>
      </c>
      <c r="U369" s="345">
        <f t="shared" si="156"/>
        <v>30200</v>
      </c>
      <c r="V369" s="345">
        <f t="shared" si="157"/>
        <v>912040000</v>
      </c>
      <c r="X369" s="371">
        <f t="shared" si="151"/>
        <v>14.018073902757608</v>
      </c>
      <c r="Y369" s="372">
        <f t="shared" si="152"/>
        <v>-51.771251447681465</v>
      </c>
      <c r="AA369" s="371">
        <f t="shared" si="153"/>
        <v>28.64612301117608</v>
      </c>
      <c r="AB369" s="372">
        <f t="shared" si="154"/>
        <v>-150.10293909026754</v>
      </c>
      <c r="AD369">
        <f t="shared" si="158"/>
        <v>0</v>
      </c>
      <c r="AE369">
        <f t="shared" si="161"/>
        <v>0</v>
      </c>
    </row>
    <row r="370" spans="1:31" x14ac:dyDescent="0.2">
      <c r="A370" s="373">
        <v>30375.75</v>
      </c>
      <c r="B370" s="390">
        <f t="shared" si="155"/>
        <v>30.37575</v>
      </c>
      <c r="C370" s="363">
        <f t="shared" si="136"/>
        <v>42.878828451792749</v>
      </c>
      <c r="D370" s="364">
        <f t="shared" si="137"/>
        <v>1.5474726795012359</v>
      </c>
      <c r="E370" s="364">
        <f t="shared" si="138"/>
        <v>1.0258916679729275</v>
      </c>
      <c r="F370" s="365">
        <f t="shared" si="139"/>
        <v>0.22514479866859469</v>
      </c>
      <c r="G370" s="364">
        <f t="shared" si="140"/>
        <v>1.3478878938688554</v>
      </c>
      <c r="H370" s="365">
        <f t="shared" si="141"/>
        <v>-0.73489455000872184</v>
      </c>
      <c r="I370" s="363">
        <f t="shared" si="142"/>
        <v>126004.25373272624</v>
      </c>
      <c r="J370" s="366">
        <f t="shared" si="143"/>
        <v>1.5707883905548858</v>
      </c>
      <c r="K370" s="374">
        <f t="shared" si="159"/>
        <v>38.999073210173897</v>
      </c>
      <c r="L370" s="375">
        <f t="shared" si="160"/>
        <v>1.5451518811106106</v>
      </c>
      <c r="M370" s="363">
        <f t="shared" si="144"/>
        <v>1.5707094253468827</v>
      </c>
      <c r="N370" s="366">
        <f t="shared" si="145"/>
        <v>0.88064356185332415</v>
      </c>
      <c r="O370" s="367">
        <f t="shared" si="146"/>
        <v>1.1157084866019837</v>
      </c>
      <c r="P370" s="368">
        <f t="shared" si="147"/>
        <v>0.56728356647577638</v>
      </c>
      <c r="Q370" s="369">
        <f t="shared" si="148"/>
        <v>-14.902256697750166</v>
      </c>
      <c r="R370" s="370">
        <f t="shared" si="149"/>
        <v>-202.29914032637328</v>
      </c>
      <c r="S370" s="372">
        <f t="shared" si="150"/>
        <v>-22.299140326373276</v>
      </c>
      <c r="U370" s="345">
        <f t="shared" si="156"/>
        <v>30375.75</v>
      </c>
      <c r="V370" s="345">
        <f t="shared" si="157"/>
        <v>922686188.0625</v>
      </c>
      <c r="X370" s="371">
        <f t="shared" si="151"/>
        <v>13.988138932940215</v>
      </c>
      <c r="Y370" s="372">
        <f t="shared" si="152"/>
        <v>-51.926023201501906</v>
      </c>
      <c r="AA370" s="371">
        <f t="shared" si="153"/>
        <v>28.610829637143624</v>
      </c>
      <c r="AB370" s="372">
        <f t="shared" si="154"/>
        <v>-150.37311712487138</v>
      </c>
      <c r="AD370">
        <f t="shared" si="158"/>
        <v>0</v>
      </c>
      <c r="AE370">
        <f t="shared" si="161"/>
        <v>0</v>
      </c>
    </row>
    <row r="371" spans="1:31" x14ac:dyDescent="0.2">
      <c r="A371" s="373">
        <v>30551.5</v>
      </c>
      <c r="B371" s="390">
        <f t="shared" si="155"/>
        <v>30.551500000000001</v>
      </c>
      <c r="C371" s="363">
        <f t="shared" si="136"/>
        <v>43.126785033074825</v>
      </c>
      <c r="D371" s="364">
        <f t="shared" si="137"/>
        <v>1.547606802453366</v>
      </c>
      <c r="E371" s="364">
        <f t="shared" si="138"/>
        <v>1.0261883114851782</v>
      </c>
      <c r="F371" s="365">
        <f t="shared" si="139"/>
        <v>0.22640351537385209</v>
      </c>
      <c r="G371" s="364">
        <f t="shared" si="140"/>
        <v>1.3513996182069705</v>
      </c>
      <c r="H371" s="365">
        <f t="shared" si="141"/>
        <v>-0.73776526245405294</v>
      </c>
      <c r="I371" s="363">
        <f t="shared" si="142"/>
        <v>126733.29738077232</v>
      </c>
      <c r="J371" s="366">
        <f t="shared" si="143"/>
        <v>1.570788436208755</v>
      </c>
      <c r="K371" s="374">
        <f t="shared" si="159"/>
        <v>39.22456866470327</v>
      </c>
      <c r="L371" s="375">
        <f t="shared" si="160"/>
        <v>1.5452993387676457</v>
      </c>
      <c r="M371" s="363">
        <f t="shared" si="144"/>
        <v>1.5761200538420537</v>
      </c>
      <c r="N371" s="366">
        <f t="shared" si="145"/>
        <v>0.88347441784369052</v>
      </c>
      <c r="O371" s="367">
        <f t="shared" si="146"/>
        <v>1.1169992762874934</v>
      </c>
      <c r="P371" s="368">
        <f t="shared" si="147"/>
        <v>0.57023222899684567</v>
      </c>
      <c r="Q371" s="369">
        <f t="shared" si="148"/>
        <v>-14.967173318217595</v>
      </c>
      <c r="R371" s="370">
        <f t="shared" si="149"/>
        <v>-202.72188149114052</v>
      </c>
      <c r="S371" s="372">
        <f t="shared" si="150"/>
        <v>-22.721881491140522</v>
      </c>
      <c r="U371" s="345">
        <f t="shared" si="156"/>
        <v>30551.5</v>
      </c>
      <c r="V371" s="345">
        <f t="shared" si="157"/>
        <v>933394152.25</v>
      </c>
      <c r="X371" s="371">
        <f t="shared" si="151"/>
        <v>13.958237274310793</v>
      </c>
      <c r="Y371" s="372">
        <f t="shared" si="152"/>
        <v>-52.079773216703941</v>
      </c>
      <c r="AA371" s="371">
        <f t="shared" si="153"/>
        <v>28.575814675305612</v>
      </c>
      <c r="AB371" s="372">
        <f t="shared" si="154"/>
        <v>-150.64210827443659</v>
      </c>
      <c r="AD371">
        <f t="shared" si="158"/>
        <v>0</v>
      </c>
      <c r="AE371">
        <f t="shared" si="161"/>
        <v>0</v>
      </c>
    </row>
    <row r="372" spans="1:31" x14ac:dyDescent="0.2">
      <c r="A372" s="373">
        <v>30727.25</v>
      </c>
      <c r="B372" s="390">
        <f t="shared" si="155"/>
        <v>30.727250000000002</v>
      </c>
      <c r="C372" s="363">
        <f t="shared" si="136"/>
        <v>43.374742381293196</v>
      </c>
      <c r="D372" s="364">
        <f t="shared" si="137"/>
        <v>1.5477393919453077</v>
      </c>
      <c r="E372" s="364">
        <f t="shared" si="138"/>
        <v>1.0264865799158751</v>
      </c>
      <c r="F372" s="365">
        <f t="shared" si="139"/>
        <v>0.22766150257517775</v>
      </c>
      <c r="G372" s="364">
        <f t="shared" si="140"/>
        <v>1.3549224216326909</v>
      </c>
      <c r="H372" s="365">
        <f t="shared" si="141"/>
        <v>-0.74062107060588478</v>
      </c>
      <c r="I372" s="363">
        <f t="shared" si="142"/>
        <v>127462.34102881867</v>
      </c>
      <c r="J372" s="366">
        <f t="shared" si="143"/>
        <v>1.570788481340373</v>
      </c>
      <c r="K372" s="374">
        <f t="shared" si="159"/>
        <v>39.450064962372075</v>
      </c>
      <c r="L372" s="375">
        <f t="shared" si="160"/>
        <v>1.5454451106939309</v>
      </c>
      <c r="M372" s="363">
        <f t="shared" si="144"/>
        <v>1.5815432264821816</v>
      </c>
      <c r="N372" s="366">
        <f t="shared" si="145"/>
        <v>0.88628588200750835</v>
      </c>
      <c r="O372" s="367">
        <f t="shared" si="146"/>
        <v>1.1182964335683476</v>
      </c>
      <c r="P372" s="368">
        <f t="shared" si="147"/>
        <v>0.57317597627916639</v>
      </c>
      <c r="Q372" s="369">
        <f t="shared" si="148"/>
        <v>-15.031781397958632</v>
      </c>
      <c r="R372" s="370">
        <f t="shared" si="149"/>
        <v>-203.1424265025714</v>
      </c>
      <c r="S372" s="372">
        <f t="shared" si="150"/>
        <v>-23.142426502571396</v>
      </c>
      <c r="U372" s="345">
        <f t="shared" si="156"/>
        <v>30727.25</v>
      </c>
      <c r="V372" s="345">
        <f t="shared" si="157"/>
        <v>944163892.5625</v>
      </c>
      <c r="X372" s="371">
        <f t="shared" si="151"/>
        <v>13.928369643590452</v>
      </c>
      <c r="Y372" s="372">
        <f t="shared" si="152"/>
        <v>-52.232508717421091</v>
      </c>
      <c r="AA372" s="371">
        <f t="shared" si="153"/>
        <v>28.541074226284913</v>
      </c>
      <c r="AB372" s="372">
        <f t="shared" si="154"/>
        <v>-150.90991778515036</v>
      </c>
      <c r="AD372">
        <f t="shared" si="158"/>
        <v>0</v>
      </c>
      <c r="AE372">
        <f t="shared" si="161"/>
        <v>0</v>
      </c>
    </row>
    <row r="373" spans="1:31" x14ac:dyDescent="0.2">
      <c r="A373" s="373">
        <v>30903</v>
      </c>
      <c r="B373" s="390">
        <f t="shared" si="155"/>
        <v>30.902999999999999</v>
      </c>
      <c r="C373" s="363">
        <f t="shared" si="136"/>
        <v>43.622700483369769</v>
      </c>
      <c r="D373" s="364">
        <f t="shared" si="137"/>
        <v>1.5478704741216258</v>
      </c>
      <c r="E373" s="364">
        <f t="shared" si="138"/>
        <v>1.0267864718489637</v>
      </c>
      <c r="F373" s="365">
        <f t="shared" si="139"/>
        <v>0.22891875692843894</v>
      </c>
      <c r="G373" s="364">
        <f t="shared" si="140"/>
        <v>1.3584562179538091</v>
      </c>
      <c r="H373" s="365">
        <f t="shared" si="141"/>
        <v>-0.74346204401429694</v>
      </c>
      <c r="I373" s="363">
        <f t="shared" si="142"/>
        <v>128191.38467686527</v>
      </c>
      <c r="J373" s="366">
        <f t="shared" si="143"/>
        <v>1.5707885259586507</v>
      </c>
      <c r="K373" s="374">
        <f t="shared" si="159"/>
        <v>39.675562088804355</v>
      </c>
      <c r="L373" s="375">
        <f t="shared" si="160"/>
        <v>1.5455892256259058</v>
      </c>
      <c r="M373" s="363">
        <f t="shared" si="144"/>
        <v>1.586978814666191</v>
      </c>
      <c r="N373" s="366">
        <f t="shared" si="145"/>
        <v>0.88907810892867867</v>
      </c>
      <c r="O373" s="367">
        <f t="shared" si="146"/>
        <v>1.1195999436142907</v>
      </c>
      <c r="P373" s="368">
        <f t="shared" si="147"/>
        <v>0.57611480070373589</v>
      </c>
      <c r="Q373" s="369">
        <f t="shared" si="148"/>
        <v>-15.096084070336001</v>
      </c>
      <c r="R373" s="370">
        <f t="shared" si="149"/>
        <v>-203.56078780967215</v>
      </c>
      <c r="S373" s="372">
        <f t="shared" si="150"/>
        <v>-23.560787809672149</v>
      </c>
      <c r="U373" s="345">
        <f t="shared" si="156"/>
        <v>30903</v>
      </c>
      <c r="V373" s="345">
        <f t="shared" si="157"/>
        <v>954995409</v>
      </c>
      <c r="X373" s="371">
        <f t="shared" si="151"/>
        <v>13.898536739046319</v>
      </c>
      <c r="Y373" s="372">
        <f t="shared" si="152"/>
        <v>-52.384236914692359</v>
      </c>
      <c r="AA373" s="371">
        <f t="shared" si="153"/>
        <v>28.506604458451683</v>
      </c>
      <c r="AB373" s="372">
        <f t="shared" si="154"/>
        <v>-151.17655089497981</v>
      </c>
      <c r="AD373">
        <f t="shared" si="158"/>
        <v>0</v>
      </c>
      <c r="AE373">
        <f t="shared" si="161"/>
        <v>0</v>
      </c>
    </row>
    <row r="374" spans="1:31" x14ac:dyDescent="0.2">
      <c r="A374" s="373">
        <v>31083</v>
      </c>
      <c r="B374" s="390">
        <f t="shared" si="155"/>
        <v>31.082999999999998</v>
      </c>
      <c r="C374" s="363">
        <f t="shared" si="136"/>
        <v>43.876655495385876</v>
      </c>
      <c r="D374" s="364">
        <f t="shared" si="137"/>
        <v>1.5480031904037672</v>
      </c>
      <c r="E374" s="364">
        <f t="shared" si="138"/>
        <v>1.0270952971723608</v>
      </c>
      <c r="F374" s="365">
        <f t="shared" si="139"/>
        <v>0.23020565117750583</v>
      </c>
      <c r="G374" s="364">
        <f t="shared" si="140"/>
        <v>1.3620867742601688</v>
      </c>
      <c r="H374" s="365">
        <f t="shared" si="141"/>
        <v>-0.74635641380023887</v>
      </c>
      <c r="I374" s="363">
        <f t="shared" si="142"/>
        <v>128938.05811440971</v>
      </c>
      <c r="J374" s="366">
        <f t="shared" si="143"/>
        <v>1.5707885711328784</v>
      </c>
      <c r="K374" s="374">
        <f t="shared" si="159"/>
        <v>39.906513048456681</v>
      </c>
      <c r="L374" s="375">
        <f t="shared" si="160"/>
        <v>1.5457351373178996</v>
      </c>
      <c r="M374" s="363">
        <f t="shared" si="144"/>
        <v>1.5925585833460703</v>
      </c>
      <c r="N374" s="366">
        <f t="shared" si="145"/>
        <v>0.8919180776067358</v>
      </c>
      <c r="O374" s="367">
        <f t="shared" si="146"/>
        <v>1.1209415448037567</v>
      </c>
      <c r="P374" s="368">
        <f t="shared" si="147"/>
        <v>0.57911958141339959</v>
      </c>
      <c r="Q374" s="369">
        <f t="shared" si="148"/>
        <v>-15.161628363557737</v>
      </c>
      <c r="R374" s="370">
        <f t="shared" si="149"/>
        <v>-203.98701539331987</v>
      </c>
      <c r="S374" s="372">
        <f t="shared" si="150"/>
        <v>-23.987015393319865</v>
      </c>
      <c r="U374" s="345">
        <f t="shared" si="156"/>
        <v>31083</v>
      </c>
      <c r="V374" s="345">
        <f t="shared" si="157"/>
        <v>966152889</v>
      </c>
      <c r="X374" s="371">
        <f t="shared" si="151"/>
        <v>13.868019119454161</v>
      </c>
      <c r="Y374" s="372">
        <f t="shared" si="152"/>
        <v>-52.53859759823051</v>
      </c>
      <c r="AA374" s="371">
        <f t="shared" si="153"/>
        <v>28.471577784822102</v>
      </c>
      <c r="AB374" s="372">
        <f t="shared" si="154"/>
        <v>-151.44841779508934</v>
      </c>
      <c r="AD374">
        <f t="shared" si="158"/>
        <v>0</v>
      </c>
      <c r="AE374">
        <f t="shared" si="161"/>
        <v>0</v>
      </c>
    </row>
    <row r="375" spans="1:31" x14ac:dyDescent="0.2">
      <c r="A375" s="373">
        <v>31263</v>
      </c>
      <c r="B375" s="390">
        <f t="shared" si="155"/>
        <v>31.263000000000002</v>
      </c>
      <c r="C375" s="363">
        <f t="shared" si="136"/>
        <v>44.130611271333692</v>
      </c>
      <c r="D375" s="364">
        <f t="shared" si="137"/>
        <v>1.5481343792193749</v>
      </c>
      <c r="E375" s="364">
        <f t="shared" si="138"/>
        <v>1.0274058224407787</v>
      </c>
      <c r="F375" s="365">
        <f t="shared" si="139"/>
        <v>0.23149176964826107</v>
      </c>
      <c r="G375" s="364">
        <f t="shared" si="140"/>
        <v>1.3657286805577493</v>
      </c>
      <c r="H375" s="365">
        <f t="shared" si="141"/>
        <v>-0.74923537111469907</v>
      </c>
      <c r="I375" s="363">
        <f t="shared" si="142"/>
        <v>129684.73155195439</v>
      </c>
      <c r="J375" s="366">
        <f t="shared" si="143"/>
        <v>1.5707886157869155</v>
      </c>
      <c r="K375" s="374">
        <f t="shared" si="159"/>
        <v>40.137464847950106</v>
      </c>
      <c r="L375" s="375">
        <f t="shared" si="160"/>
        <v>1.545879369855172</v>
      </c>
      <c r="M375" s="363">
        <f t="shared" si="144"/>
        <v>1.5981511069315297</v>
      </c>
      <c r="N375" s="366">
        <f t="shared" si="145"/>
        <v>0.89473819268999322</v>
      </c>
      <c r="O375" s="367">
        <f t="shared" si="146"/>
        <v>1.1222897782401939</v>
      </c>
      <c r="P375" s="368">
        <f t="shared" si="147"/>
        <v>0.58211918283024222</v>
      </c>
      <c r="Q375" s="369">
        <f t="shared" si="148"/>
        <v>-15.226858799089225</v>
      </c>
      <c r="R375" s="370">
        <f t="shared" si="149"/>
        <v>-204.41097873869879</v>
      </c>
      <c r="S375" s="372">
        <f t="shared" si="150"/>
        <v>-24.410978738698788</v>
      </c>
      <c r="U375" s="345">
        <f t="shared" si="156"/>
        <v>31263</v>
      </c>
      <c r="V375" s="345">
        <f t="shared" si="157"/>
        <v>977375169</v>
      </c>
      <c r="X375" s="371">
        <f t="shared" si="151"/>
        <v>13.837539350554922</v>
      </c>
      <c r="Y375" s="372">
        <f t="shared" si="152"/>
        <v>-52.691916933251214</v>
      </c>
      <c r="AA375" s="371">
        <f t="shared" si="153"/>
        <v>28.436827118189854</v>
      </c>
      <c r="AB375" s="372">
        <f t="shared" si="154"/>
        <v>-151.71906180544758</v>
      </c>
      <c r="AD375">
        <f t="shared" si="158"/>
        <v>0</v>
      </c>
      <c r="AE375">
        <f t="shared" si="161"/>
        <v>0</v>
      </c>
    </row>
    <row r="376" spans="1:31" x14ac:dyDescent="0.2">
      <c r="A376" s="373">
        <v>31443</v>
      </c>
      <c r="B376" s="390">
        <f t="shared" si="155"/>
        <v>31.443000000000001</v>
      </c>
      <c r="C376" s="363">
        <f t="shared" si="136"/>
        <v>44.384567798100221</v>
      </c>
      <c r="D376" s="364">
        <f t="shared" si="137"/>
        <v>1.5482640667831487</v>
      </c>
      <c r="E376" s="364">
        <f t="shared" si="138"/>
        <v>1.0277180461133009</v>
      </c>
      <c r="F376" s="365">
        <f t="shared" si="139"/>
        <v>0.23277710879110641</v>
      </c>
      <c r="G376" s="364">
        <f t="shared" si="140"/>
        <v>1.3693818462897716</v>
      </c>
      <c r="H376" s="365">
        <f t="shared" si="141"/>
        <v>-0.75209899139325642</v>
      </c>
      <c r="I376" s="363">
        <f t="shared" si="142"/>
        <v>130431.40498949934</v>
      </c>
      <c r="J376" s="366">
        <f t="shared" si="143"/>
        <v>1.5707886599296959</v>
      </c>
      <c r="K376" s="374">
        <f t="shared" si="159"/>
        <v>40.368417472870163</v>
      </c>
      <c r="L376" s="375">
        <f t="shared" si="160"/>
        <v>1.5460219520516154</v>
      </c>
      <c r="M376" s="363">
        <f t="shared" si="144"/>
        <v>1.6037562519881265</v>
      </c>
      <c r="N376" s="366">
        <f t="shared" si="145"/>
        <v>0.89753861725167849</v>
      </c>
      <c r="O376" s="367">
        <f t="shared" si="146"/>
        <v>1.1236446280025798</v>
      </c>
      <c r="P376" s="368">
        <f t="shared" si="147"/>
        <v>0.58511359748705172</v>
      </c>
      <c r="Q376" s="369">
        <f t="shared" si="148"/>
        <v>-15.291778589214669</v>
      </c>
      <c r="R376" s="370">
        <f t="shared" si="149"/>
        <v>-204.8326911384834</v>
      </c>
      <c r="S376" s="372">
        <f t="shared" si="150"/>
        <v>-24.832691138483398</v>
      </c>
      <c r="U376" s="345">
        <f t="shared" si="156"/>
        <v>31443</v>
      </c>
      <c r="V376" s="345">
        <f t="shared" si="157"/>
        <v>988662249</v>
      </c>
      <c r="X376" s="371">
        <f t="shared" si="151"/>
        <v>13.807098124481044</v>
      </c>
      <c r="Y376" s="372">
        <f t="shared" si="152"/>
        <v>-52.844202612759666</v>
      </c>
      <c r="AA376" s="371">
        <f t="shared" si="153"/>
        <v>28.402348554138285</v>
      </c>
      <c r="AB376" s="372">
        <f t="shared" si="154"/>
        <v>-151.98848852572371</v>
      </c>
      <c r="AD376">
        <f t="shared" si="158"/>
        <v>0</v>
      </c>
      <c r="AE376">
        <f t="shared" si="161"/>
        <v>0</v>
      </c>
    </row>
    <row r="377" spans="1:31" x14ac:dyDescent="0.2">
      <c r="A377" s="373">
        <v>31623</v>
      </c>
      <c r="B377" s="390">
        <f t="shared" si="155"/>
        <v>31.623000000000001</v>
      </c>
      <c r="C377" s="363">
        <f t="shared" si="136"/>
        <v>44.638525062870841</v>
      </c>
      <c r="D377" s="364">
        <f t="shared" si="137"/>
        <v>1.548392278713431</v>
      </c>
      <c r="E377" s="364">
        <f t="shared" si="138"/>
        <v>1.02803196664246</v>
      </c>
      <c r="F377" s="365">
        <f t="shared" si="139"/>
        <v>0.23406166507104442</v>
      </c>
      <c r="G377" s="364">
        <f t="shared" si="140"/>
        <v>1.3730461815847237</v>
      </c>
      <c r="H377" s="365">
        <f t="shared" si="141"/>
        <v>-0.75494735027607096</v>
      </c>
      <c r="I377" s="363">
        <f t="shared" si="142"/>
        <v>131178.07842704456</v>
      </c>
      <c r="J377" s="366">
        <f t="shared" si="143"/>
        <v>1.5707887035699493</v>
      </c>
      <c r="K377" s="374">
        <f t="shared" si="159"/>
        <v>40.599370909130378</v>
      </c>
      <c r="L377" s="375">
        <f t="shared" si="160"/>
        <v>1.5461629120657512</v>
      </c>
      <c r="M377" s="363">
        <f t="shared" si="144"/>
        <v>1.6093738866412712</v>
      </c>
      <c r="N377" s="366">
        <f t="shared" si="145"/>
        <v>0.90031951333119364</v>
      </c>
      <c r="O377" s="367">
        <f t="shared" si="146"/>
        <v>1.1250060781755289</v>
      </c>
      <c r="P377" s="368">
        <f t="shared" si="147"/>
        <v>0.58810281815565679</v>
      </c>
      <c r="Q377" s="369">
        <f t="shared" si="148"/>
        <v>-15.356390896502656</v>
      </c>
      <c r="R377" s="370">
        <f t="shared" si="149"/>
        <v>-205.2521658540648</v>
      </c>
      <c r="S377" s="372">
        <f t="shared" si="150"/>
        <v>-25.252165854064799</v>
      </c>
      <c r="U377" s="345">
        <f t="shared" si="156"/>
        <v>31623</v>
      </c>
      <c r="V377" s="345">
        <f t="shared" si="157"/>
        <v>1000014129</v>
      </c>
      <c r="X377" s="371">
        <f t="shared" si="151"/>
        <v>13.776696114511246</v>
      </c>
      <c r="Y377" s="372">
        <f t="shared" si="152"/>
        <v>-52.995462308065463</v>
      </c>
      <c r="AA377" s="371">
        <f t="shared" si="153"/>
        <v>28.368138256820096</v>
      </c>
      <c r="AB377" s="372">
        <f t="shared" si="154"/>
        <v>-152.25670354599939</v>
      </c>
      <c r="AD377">
        <f t="shared" si="158"/>
        <v>0</v>
      </c>
      <c r="AE377">
        <f t="shared" si="161"/>
        <v>0</v>
      </c>
    </row>
    <row r="378" spans="1:31" x14ac:dyDescent="0.2">
      <c r="A378" s="373">
        <v>31807</v>
      </c>
      <c r="B378" s="390">
        <f t="shared" si="155"/>
        <v>31.806999999999999</v>
      </c>
      <c r="C378" s="363">
        <f t="shared" si="136"/>
        <v>44.898126572161054</v>
      </c>
      <c r="D378" s="364">
        <f t="shared" si="137"/>
        <v>1.5485218406801711</v>
      </c>
      <c r="E378" s="364">
        <f t="shared" si="138"/>
        <v>1.0283546154027787</v>
      </c>
      <c r="F378" s="365">
        <f t="shared" si="139"/>
        <v>0.23537395422901453</v>
      </c>
      <c r="G378" s="364">
        <f t="shared" si="140"/>
        <v>1.3768033983306449</v>
      </c>
      <c r="H378" s="365">
        <f t="shared" si="141"/>
        <v>-0.75784331110022518</v>
      </c>
      <c r="I378" s="363">
        <f t="shared" si="142"/>
        <v>131941.34460764658</v>
      </c>
      <c r="J378" s="366">
        <f t="shared" si="143"/>
        <v>1.570788747669468</v>
      </c>
      <c r="K378" s="374">
        <f t="shared" si="159"/>
        <v>40.835457468225528</v>
      </c>
      <c r="L378" s="375">
        <f t="shared" si="160"/>
        <v>1.5463053565220246</v>
      </c>
      <c r="M378" s="363">
        <f t="shared" si="144"/>
        <v>1.6151291309232167</v>
      </c>
      <c r="N378" s="366">
        <f t="shared" si="145"/>
        <v>0.90314219047632549</v>
      </c>
      <c r="O378" s="367">
        <f t="shared" si="146"/>
        <v>1.1264045882859153</v>
      </c>
      <c r="P378" s="368">
        <f t="shared" si="147"/>
        <v>0.59115309026897056</v>
      </c>
      <c r="Q378" s="369">
        <f t="shared" si="148"/>
        <v>-15.422124466698186</v>
      </c>
      <c r="R378" s="370">
        <f t="shared" si="149"/>
        <v>-205.67866317739879</v>
      </c>
      <c r="S378" s="372">
        <f t="shared" si="150"/>
        <v>-25.678663177398789</v>
      </c>
      <c r="U378" s="345">
        <f t="shared" si="156"/>
        <v>31807</v>
      </c>
      <c r="V378" s="345">
        <f t="shared" si="157"/>
        <v>1011685249</v>
      </c>
      <c r="X378" s="371">
        <f t="shared" si="151"/>
        <v>13.745659718986346</v>
      </c>
      <c r="Y378" s="372">
        <f t="shared" si="152"/>
        <v>-53.149030856141813</v>
      </c>
      <c r="AA378" s="371">
        <f t="shared" si="153"/>
        <v>28.33344108214947</v>
      </c>
      <c r="AB378" s="372">
        <f t="shared" si="154"/>
        <v>-152.52963232125697</v>
      </c>
      <c r="AD378">
        <f t="shared" si="158"/>
        <v>0</v>
      </c>
      <c r="AE378">
        <f t="shared" si="161"/>
        <v>0</v>
      </c>
    </row>
    <row r="379" spans="1:31" x14ac:dyDescent="0.2">
      <c r="A379" s="373">
        <v>31991</v>
      </c>
      <c r="B379" s="390">
        <f t="shared" si="155"/>
        <v>31.991</v>
      </c>
      <c r="C379" s="363">
        <f t="shared" si="136"/>
        <v>45.157728826459447</v>
      </c>
      <c r="D379" s="364">
        <f t="shared" si="137"/>
        <v>1.5486499130002247</v>
      </c>
      <c r="E379" s="364">
        <f t="shared" si="138"/>
        <v>1.0286790339827987</v>
      </c>
      <c r="F379" s="365">
        <f t="shared" si="139"/>
        <v>0.23668541792062037</v>
      </c>
      <c r="G379" s="364">
        <f t="shared" si="140"/>
        <v>1.38057209885619</v>
      </c>
      <c r="H379" s="365">
        <f t="shared" si="141"/>
        <v>-0.76072348511974031</v>
      </c>
      <c r="I379" s="363">
        <f t="shared" si="142"/>
        <v>132704.61078824883</v>
      </c>
      <c r="J379" s="366">
        <f t="shared" si="143"/>
        <v>1.5707887912616996</v>
      </c>
      <c r="K379" s="374">
        <f t="shared" si="159"/>
        <v>41.071544846363842</v>
      </c>
      <c r="L379" s="375">
        <f t="shared" si="160"/>
        <v>1.5464461633832076</v>
      </c>
      <c r="M379" s="363">
        <f t="shared" si="144"/>
        <v>1.6208971523135327</v>
      </c>
      <c r="N379" s="366">
        <f t="shared" si="145"/>
        <v>0.90594480062086435</v>
      </c>
      <c r="O379" s="367">
        <f t="shared" si="146"/>
        <v>1.1278099618090229</v>
      </c>
      <c r="P379" s="368">
        <f t="shared" si="147"/>
        <v>0.5941979204686868</v>
      </c>
      <c r="Q379" s="369">
        <f t="shared" si="148"/>
        <v>-15.487543264701531</v>
      </c>
      <c r="R379" s="370">
        <f t="shared" si="149"/>
        <v>-206.10285017382176</v>
      </c>
      <c r="S379" s="372">
        <f t="shared" si="150"/>
        <v>-26.102850173821764</v>
      </c>
      <c r="U379" s="345">
        <f t="shared" si="156"/>
        <v>31991</v>
      </c>
      <c r="V379" s="345">
        <f t="shared" si="157"/>
        <v>1023424081</v>
      </c>
      <c r="X379" s="371">
        <f t="shared" si="151"/>
        <v>13.714665665817762</v>
      </c>
      <c r="Y379" s="372">
        <f t="shared" si="152"/>
        <v>-53.301543447997332</v>
      </c>
      <c r="AA379" s="371">
        <f t="shared" si="153"/>
        <v>28.299016337314708</v>
      </c>
      <c r="AB379" s="372">
        <f t="shared" si="154"/>
        <v>-152.80130672582442</v>
      </c>
      <c r="AD379">
        <f t="shared" si="158"/>
        <v>0</v>
      </c>
      <c r="AE379">
        <f t="shared" si="161"/>
        <v>0</v>
      </c>
    </row>
    <row r="380" spans="1:31" x14ac:dyDescent="0.2">
      <c r="A380" s="373">
        <v>32175</v>
      </c>
      <c r="B380" s="390">
        <f t="shared" si="155"/>
        <v>32.174999999999997</v>
      </c>
      <c r="C380" s="363">
        <f t="shared" si="136"/>
        <v>45.417331812990753</v>
      </c>
      <c r="D380" s="364">
        <f t="shared" si="137"/>
        <v>1.5487765212135711</v>
      </c>
      <c r="E380" s="364">
        <f t="shared" si="138"/>
        <v>1.0290052207085856</v>
      </c>
      <c r="F380" s="365">
        <f t="shared" si="139"/>
        <v>0.23799605241747804</v>
      </c>
      <c r="G380" s="364">
        <f t="shared" si="140"/>
        <v>1.384352189372527</v>
      </c>
      <c r="H380" s="365">
        <f t="shared" si="141"/>
        <v>-0.76358795367670562</v>
      </c>
      <c r="I380" s="363">
        <f t="shared" si="142"/>
        <v>133467.87696885134</v>
      </c>
      <c r="J380" s="366">
        <f t="shared" si="143"/>
        <v>1.5707888343553469</v>
      </c>
      <c r="K380" s="374">
        <f t="shared" si="159"/>
        <v>41.307633029502</v>
      </c>
      <c r="L380" s="375">
        <f t="shared" si="160"/>
        <v>1.5465853607220272</v>
      </c>
      <c r="M380" s="363">
        <f t="shared" si="144"/>
        <v>1.6266778148935432</v>
      </c>
      <c r="N380" s="366">
        <f t="shared" si="145"/>
        <v>0.90872751343699754</v>
      </c>
      <c r="O380" s="367">
        <f t="shared" si="146"/>
        <v>1.1292221817687966</v>
      </c>
      <c r="P380" s="368">
        <f t="shared" si="147"/>
        <v>0.59723730179788515</v>
      </c>
      <c r="Q380" s="369">
        <f t="shared" si="148"/>
        <v>-15.552650514357707</v>
      </c>
      <c r="R380" s="370">
        <f t="shared" si="149"/>
        <v>-206.52474089579377</v>
      </c>
      <c r="S380" s="372">
        <f t="shared" si="150"/>
        <v>-26.524740895793769</v>
      </c>
      <c r="U380" s="345">
        <f t="shared" si="156"/>
        <v>32175</v>
      </c>
      <c r="V380" s="345">
        <f t="shared" si="157"/>
        <v>1035230625</v>
      </c>
      <c r="X380" s="371">
        <f t="shared" si="151"/>
        <v>13.683714615390539</v>
      </c>
      <c r="Y380" s="372">
        <f t="shared" si="152"/>
        <v>-53.453008197182115</v>
      </c>
      <c r="AA380" s="371">
        <f t="shared" si="153"/>
        <v>28.264860138085762</v>
      </c>
      <c r="AB380" s="372">
        <f t="shared" si="154"/>
        <v>-153.07173269861164</v>
      </c>
      <c r="AD380">
        <f t="shared" si="158"/>
        <v>0</v>
      </c>
      <c r="AE380">
        <f t="shared" si="161"/>
        <v>0</v>
      </c>
    </row>
    <row r="381" spans="1:31" x14ac:dyDescent="0.2">
      <c r="A381" s="373">
        <v>32359</v>
      </c>
      <c r="B381" s="390">
        <f t="shared" si="155"/>
        <v>32.359000000000002</v>
      </c>
      <c r="C381" s="363">
        <f t="shared" si="136"/>
        <v>45.676935519270145</v>
      </c>
      <c r="D381" s="364">
        <f t="shared" si="137"/>
        <v>1.5489016902797563</v>
      </c>
      <c r="E381" s="364">
        <f t="shared" si="138"/>
        <v>1.0293331738992091</v>
      </c>
      <c r="F381" s="365">
        <f t="shared" si="139"/>
        <v>0.23930585400731164</v>
      </c>
      <c r="G381" s="364">
        <f t="shared" si="140"/>
        <v>1.3881435768305026</v>
      </c>
      <c r="H381" s="365">
        <f t="shared" si="141"/>
        <v>-0.76643679825947708</v>
      </c>
      <c r="I381" s="363">
        <f t="shared" si="142"/>
        <v>134231.14314945412</v>
      </c>
      <c r="J381" s="366">
        <f t="shared" si="143"/>
        <v>1.5707888769589156</v>
      </c>
      <c r="K381" s="374">
        <f t="shared" si="159"/>
        <v>41.543722003915825</v>
      </c>
      <c r="L381" s="375">
        <f t="shared" si="160"/>
        <v>1.5467229759733248</v>
      </c>
      <c r="M381" s="363">
        <f t="shared" si="144"/>
        <v>1.6324709843739715</v>
      </c>
      <c r="N381" s="366">
        <f t="shared" si="145"/>
        <v>0.91149049742893495</v>
      </c>
      <c r="O381" s="367">
        <f t="shared" si="146"/>
        <v>1.1306412311992471</v>
      </c>
      <c r="P381" s="368">
        <f t="shared" si="147"/>
        <v>0.60027122755345552</v>
      </c>
      <c r="Q381" s="369">
        <f t="shared" si="148"/>
        <v>-15.617449389708419</v>
      </c>
      <c r="R381" s="370">
        <f t="shared" si="149"/>
        <v>-206.94434935413489</v>
      </c>
      <c r="S381" s="372">
        <f t="shared" si="150"/>
        <v>-26.944349354134886</v>
      </c>
      <c r="U381" s="345">
        <f t="shared" si="156"/>
        <v>32359</v>
      </c>
      <c r="V381" s="345">
        <f t="shared" si="157"/>
        <v>1047104881</v>
      </c>
      <c r="X381" s="371">
        <f t="shared" si="151"/>
        <v>13.652807209041274</v>
      </c>
      <c r="Y381" s="372">
        <f t="shared" si="152"/>
        <v>-53.603433186862922</v>
      </c>
      <c r="AA381" s="371">
        <f t="shared" si="153"/>
        <v>28.230968669084309</v>
      </c>
      <c r="AB381" s="372">
        <f t="shared" si="154"/>
        <v>-153.34091616727198</v>
      </c>
      <c r="AD381">
        <f t="shared" si="158"/>
        <v>0</v>
      </c>
      <c r="AE381">
        <f t="shared" si="161"/>
        <v>0</v>
      </c>
    </row>
    <row r="382" spans="1:31" x14ac:dyDescent="0.2">
      <c r="A382" s="373">
        <v>32547.5</v>
      </c>
      <c r="B382" s="390">
        <f t="shared" si="155"/>
        <v>32.547499999999999</v>
      </c>
      <c r="C382" s="363">
        <f t="shared" si="136"/>
        <v>45.942888962847483</v>
      </c>
      <c r="D382" s="364">
        <f t="shared" si="137"/>
        <v>1.5490284536740297</v>
      </c>
      <c r="E382" s="364">
        <f t="shared" si="138"/>
        <v>1.0296709777150403</v>
      </c>
      <c r="F382" s="365">
        <f t="shared" si="139"/>
        <v>0.24064682121310674</v>
      </c>
      <c r="G382" s="364">
        <f t="shared" si="140"/>
        <v>1.3920393066825634</v>
      </c>
      <c r="H382" s="365">
        <f t="shared" si="141"/>
        <v>-0.76933919918836846</v>
      </c>
      <c r="I382" s="363">
        <f t="shared" si="142"/>
        <v>135013.07616599579</v>
      </c>
      <c r="J382" s="366">
        <f t="shared" si="143"/>
        <v>1.5707889201049048</v>
      </c>
      <c r="K382" s="374">
        <f t="shared" si="159"/>
        <v>41.785585699983308</v>
      </c>
      <c r="L382" s="375">
        <f t="shared" si="160"/>
        <v>1.5468623442453096</v>
      </c>
      <c r="M382" s="363">
        <f t="shared" si="144"/>
        <v>1.638418665386713</v>
      </c>
      <c r="N382" s="366">
        <f t="shared" si="145"/>
        <v>0.91430077085075268</v>
      </c>
      <c r="O382" s="367">
        <f t="shared" si="146"/>
        <v>1.132102049968416</v>
      </c>
      <c r="P382" s="368">
        <f t="shared" si="147"/>
        <v>0.60337368849583972</v>
      </c>
      <c r="Q382" s="369">
        <f t="shared" si="148"/>
        <v>-15.683516507979029</v>
      </c>
      <c r="R382" s="370">
        <f t="shared" si="149"/>
        <v>-207.3718679071859</v>
      </c>
      <c r="S382" s="372">
        <f t="shared" si="150"/>
        <v>-27.371867907185901</v>
      </c>
      <c r="U382" s="345">
        <f t="shared" si="156"/>
        <v>32547.5</v>
      </c>
      <c r="V382" s="345">
        <f t="shared" si="157"/>
        <v>1059339756.25</v>
      </c>
      <c r="X382" s="371">
        <f t="shared" si="151"/>
        <v>13.621189824078623</v>
      </c>
      <c r="Y382" s="372">
        <f t="shared" si="152"/>
        <v>-53.756467251686054</v>
      </c>
      <c r="AA382" s="371">
        <f t="shared" si="153"/>
        <v>28.196518935776353</v>
      </c>
      <c r="AB382" s="372">
        <f t="shared" si="154"/>
        <v>-153.61540065549988</v>
      </c>
      <c r="AD382">
        <f t="shared" si="158"/>
        <v>0</v>
      </c>
      <c r="AE382">
        <f t="shared" si="161"/>
        <v>0</v>
      </c>
    </row>
    <row r="383" spans="1:31" x14ac:dyDescent="0.2">
      <c r="A383" s="373">
        <v>32736</v>
      </c>
      <c r="B383" s="390">
        <f t="shared" si="155"/>
        <v>32.735999999999997</v>
      </c>
      <c r="C383" s="363">
        <f t="shared" si="136"/>
        <v>46.208843136181173</v>
      </c>
      <c r="D383" s="364">
        <f t="shared" si="137"/>
        <v>1.5491537579013832</v>
      </c>
      <c r="E383" s="364">
        <f t="shared" si="138"/>
        <v>1.0300106318616511</v>
      </c>
      <c r="F383" s="365">
        <f t="shared" si="139"/>
        <v>0.24198690643824372</v>
      </c>
      <c r="G383" s="364">
        <f t="shared" si="140"/>
        <v>1.395946697469465</v>
      </c>
      <c r="H383" s="365">
        <f t="shared" si="141"/>
        <v>-0.77222537611121844</v>
      </c>
      <c r="I383" s="363">
        <f t="shared" si="142"/>
        <v>135795.0091825377</v>
      </c>
      <c r="J383" s="366">
        <f t="shared" si="143"/>
        <v>1.5707889627540086</v>
      </c>
      <c r="K383" s="374">
        <f t="shared" si="159"/>
        <v>42.027450198332119</v>
      </c>
      <c r="L383" s="375">
        <f t="shared" si="160"/>
        <v>1.547000108414198</v>
      </c>
      <c r="M383" s="363">
        <f t="shared" si="144"/>
        <v>1.644379192370766</v>
      </c>
      <c r="N383" s="366">
        <f t="shared" si="145"/>
        <v>0.91709069287933054</v>
      </c>
      <c r="O383" s="367">
        <f t="shared" si="146"/>
        <v>1.1335700003323816</v>
      </c>
      <c r="P383" s="368">
        <f t="shared" si="147"/>
        <v>0.60647041031934212</v>
      </c>
      <c r="Q383" s="369">
        <f t="shared" si="148"/>
        <v>-15.749266572103249</v>
      </c>
      <c r="R383" s="370">
        <f t="shared" si="149"/>
        <v>-207.79702082646247</v>
      </c>
      <c r="S383" s="372">
        <f t="shared" si="150"/>
        <v>-27.797020826462472</v>
      </c>
      <c r="U383" s="345">
        <f t="shared" si="156"/>
        <v>32736</v>
      </c>
      <c r="V383" s="345">
        <f t="shared" si="157"/>
        <v>1071645696</v>
      </c>
      <c r="X383" s="371">
        <f t="shared" si="151"/>
        <v>13.589619547034941</v>
      </c>
      <c r="Y383" s="372">
        <f t="shared" si="152"/>
        <v>-53.908427147435994</v>
      </c>
      <c r="AA383" s="371">
        <f t="shared" si="153"/>
        <v>28.162339148695814</v>
      </c>
      <c r="AB383" s="372">
        <f t="shared" si="154"/>
        <v>-153.88859367902643</v>
      </c>
      <c r="AD383">
        <f t="shared" si="158"/>
        <v>0</v>
      </c>
      <c r="AE383">
        <f t="shared" si="161"/>
        <v>0</v>
      </c>
    </row>
    <row r="384" spans="1:31" x14ac:dyDescent="0.2">
      <c r="A384" s="373">
        <v>32924.5</v>
      </c>
      <c r="B384" s="390">
        <f t="shared" si="155"/>
        <v>32.924500000000002</v>
      </c>
      <c r="C384" s="363">
        <f t="shared" si="136"/>
        <v>46.474798026743038</v>
      </c>
      <c r="D384" s="364">
        <f t="shared" si="137"/>
        <v>1.5492776280083649</v>
      </c>
      <c r="E384" s="364">
        <f t="shared" si="138"/>
        <v>1.0303521345091637</v>
      </c>
      <c r="F384" s="365">
        <f t="shared" si="139"/>
        <v>0.24332610574421668</v>
      </c>
      <c r="G384" s="364">
        <f t="shared" si="140"/>
        <v>1.3998656515450631</v>
      </c>
      <c r="H384" s="365">
        <f t="shared" si="141"/>
        <v>-0.77509541700122653</v>
      </c>
      <c r="I384" s="363">
        <f t="shared" si="142"/>
        <v>136576.94219907987</v>
      </c>
      <c r="J384" s="366">
        <f t="shared" si="143"/>
        <v>1.5707890049147615</v>
      </c>
      <c r="K384" s="374">
        <f t="shared" si="159"/>
        <v>42.269315485190333</v>
      </c>
      <c r="L384" s="375">
        <f t="shared" si="160"/>
        <v>1.5471362960107793</v>
      </c>
      <c r="M384" s="363">
        <f t="shared" si="144"/>
        <v>1.6503524261399407</v>
      </c>
      <c r="N384" s="366">
        <f t="shared" si="145"/>
        <v>0.91986044082452401</v>
      </c>
      <c r="O384" s="367">
        <f t="shared" si="146"/>
        <v>1.1350450640888401</v>
      </c>
      <c r="P384" s="368">
        <f t="shared" si="147"/>
        <v>0.60956138663334702</v>
      </c>
      <c r="Q384" s="369">
        <f t="shared" si="148"/>
        <v>-15.814702838935187</v>
      </c>
      <c r="R384" s="370">
        <f t="shared" si="149"/>
        <v>-208.21982302922083</v>
      </c>
      <c r="S384" s="372">
        <f t="shared" si="150"/>
        <v>-28.219823029220834</v>
      </c>
      <c r="U384" s="345">
        <f t="shared" si="156"/>
        <v>32924.5</v>
      </c>
      <c r="V384" s="345">
        <f t="shared" si="157"/>
        <v>1084022700.25</v>
      </c>
      <c r="X384" s="371">
        <f t="shared" si="151"/>
        <v>13.558097007719255</v>
      </c>
      <c r="Y384" s="372">
        <f t="shared" si="152"/>
        <v>-54.059321456310087</v>
      </c>
      <c r="AA384" s="371">
        <f t="shared" si="153"/>
        <v>28.128425421179561</v>
      </c>
      <c r="AB384" s="372">
        <f t="shared" si="154"/>
        <v>-154.16050157291073</v>
      </c>
      <c r="AD384">
        <f t="shared" si="158"/>
        <v>0</v>
      </c>
      <c r="AE384">
        <f t="shared" si="161"/>
        <v>0</v>
      </c>
    </row>
    <row r="385" spans="1:31" x14ac:dyDescent="0.2">
      <c r="A385" s="373">
        <v>33113</v>
      </c>
      <c r="B385" s="390">
        <f t="shared" si="155"/>
        <v>33.113</v>
      </c>
      <c r="C385" s="363">
        <f t="shared" si="136"/>
        <v>46.740753622289958</v>
      </c>
      <c r="D385" s="364">
        <f t="shared" si="137"/>
        <v>1.549400088471641</v>
      </c>
      <c r="E385" s="364">
        <f t="shared" si="138"/>
        <v>1.0306954838201747</v>
      </c>
      <c r="F385" s="365">
        <f t="shared" si="139"/>
        <v>0.24466441521043608</v>
      </c>
      <c r="G385" s="364">
        <f t="shared" si="140"/>
        <v>1.4037960720662408</v>
      </c>
      <c r="H385" s="365">
        <f t="shared" si="141"/>
        <v>-0.77794940991401063</v>
      </c>
      <c r="I385" s="363">
        <f t="shared" si="142"/>
        <v>137358.87521562228</v>
      </c>
      <c r="J385" s="366">
        <f t="shared" si="143"/>
        <v>1.5707890465955032</v>
      </c>
      <c r="K385" s="374">
        <f t="shared" si="159"/>
        <v>42.511181547099405</v>
      </c>
      <c r="L385" s="375">
        <f t="shared" si="160"/>
        <v>1.5472709339395372</v>
      </c>
      <c r="M385" s="363">
        <f t="shared" si="144"/>
        <v>1.6563382292212376</v>
      </c>
      <c r="N385" s="366">
        <f t="shared" si="145"/>
        <v>0.9226101906793841</v>
      </c>
      <c r="O385" s="367">
        <f t="shared" si="146"/>
        <v>1.1365272230507921</v>
      </c>
      <c r="P385" s="368">
        <f t="shared" si="147"/>
        <v>0.61264661131847309</v>
      </c>
      <c r="Q385" s="369">
        <f t="shared" si="148"/>
        <v>-15.879828514958522</v>
      </c>
      <c r="R385" s="370">
        <f t="shared" si="149"/>
        <v>-208.64028937972807</v>
      </c>
      <c r="S385" s="372">
        <f t="shared" si="150"/>
        <v>-28.640289379728074</v>
      </c>
      <c r="U385" s="345">
        <f t="shared" si="156"/>
        <v>33113</v>
      </c>
      <c r="V385" s="345">
        <f t="shared" si="157"/>
        <v>1096470769</v>
      </c>
      <c r="X385" s="371">
        <f t="shared" si="151"/>
        <v>13.526622816595303</v>
      </c>
      <c r="Y385" s="372">
        <f t="shared" si="152"/>
        <v>-54.209158720931889</v>
      </c>
      <c r="AA385" s="371">
        <f t="shared" si="153"/>
        <v>28.094773936280177</v>
      </c>
      <c r="AB385" s="372">
        <f t="shared" si="154"/>
        <v>-154.43113065879623</v>
      </c>
      <c r="AD385">
        <f t="shared" si="158"/>
        <v>0</v>
      </c>
      <c r="AE385">
        <f t="shared" si="161"/>
        <v>0</v>
      </c>
    </row>
    <row r="386" spans="1:31" x14ac:dyDescent="0.2">
      <c r="A386" s="373">
        <v>33305.75</v>
      </c>
      <c r="B386" s="390">
        <f t="shared" si="155"/>
        <v>33.305750000000003</v>
      </c>
      <c r="C386" s="363">
        <f t="shared" si="136"/>
        <v>47.012706280697024</v>
      </c>
      <c r="D386" s="364">
        <f t="shared" si="137"/>
        <v>1.5495238772250037</v>
      </c>
      <c r="E386" s="364">
        <f t="shared" si="138"/>
        <v>1.0310484820928594</v>
      </c>
      <c r="F386" s="365">
        <f t="shared" si="139"/>
        <v>0.24603197453695694</v>
      </c>
      <c r="G386" s="364">
        <f t="shared" si="140"/>
        <v>1.4078268665890312</v>
      </c>
      <c r="H386" s="365">
        <f t="shared" si="141"/>
        <v>-0.78085124716139809</v>
      </c>
      <c r="I386" s="363">
        <f t="shared" si="142"/>
        <v>138158.43802166256</v>
      </c>
      <c r="J386" s="366">
        <f t="shared" si="143"/>
        <v>1.5707890887281211</v>
      </c>
      <c r="K386" s="374">
        <f t="shared" si="159"/>
        <v>42.758501610362934</v>
      </c>
      <c r="L386" s="375">
        <f t="shared" si="160"/>
        <v>1.547407032393322</v>
      </c>
      <c r="M386" s="363">
        <f t="shared" si="144"/>
        <v>1.6624718468717252</v>
      </c>
      <c r="N386" s="366">
        <f t="shared" si="145"/>
        <v>0.92540144001755964</v>
      </c>
      <c r="O386" s="367">
        <f t="shared" si="146"/>
        <v>1.1380501174250552</v>
      </c>
      <c r="P386" s="368">
        <f t="shared" si="147"/>
        <v>0.61579544307011347</v>
      </c>
      <c r="Q386" s="369">
        <f t="shared" si="148"/>
        <v>-15.946104656946147</v>
      </c>
      <c r="R386" s="370">
        <f t="shared" si="149"/>
        <v>-209.06783572623422</v>
      </c>
      <c r="S386" s="372">
        <f t="shared" si="150"/>
        <v>-29.067835726234222</v>
      </c>
      <c r="U386" s="345">
        <f t="shared" si="156"/>
        <v>33305.75</v>
      </c>
      <c r="V386" s="345">
        <f t="shared" si="157"/>
        <v>1109272983.0625</v>
      </c>
      <c r="X386" s="371">
        <f t="shared" si="151"/>
        <v>13.494489606925402</v>
      </c>
      <c r="Y386" s="372">
        <f t="shared" si="152"/>
        <v>-54.361290074772903</v>
      </c>
      <c r="AA386" s="371">
        <f t="shared" si="153"/>
        <v>28.060631003962449</v>
      </c>
      <c r="AB386" s="372">
        <f t="shared" si="154"/>
        <v>-154.70654565146137</v>
      </c>
      <c r="AD386">
        <f t="shared" si="158"/>
        <v>0</v>
      </c>
      <c r="AE386">
        <f t="shared" si="161"/>
        <v>0</v>
      </c>
    </row>
    <row r="387" spans="1:31" x14ac:dyDescent="0.2">
      <c r="A387" s="373">
        <v>33498.5</v>
      </c>
      <c r="B387" s="390">
        <f t="shared" si="155"/>
        <v>33.4985</v>
      </c>
      <c r="C387" s="363">
        <f t="shared" si="136"/>
        <v>47.284659651223905</v>
      </c>
      <c r="D387" s="364">
        <f t="shared" si="137"/>
        <v>1.5496462420609671</v>
      </c>
      <c r="E387" s="364">
        <f t="shared" si="138"/>
        <v>1.0314034073294851</v>
      </c>
      <c r="F387" s="365">
        <f t="shared" si="139"/>
        <v>0.24739859521232188</v>
      </c>
      <c r="G387" s="364">
        <f t="shared" si="140"/>
        <v>1.4118694481948095</v>
      </c>
      <c r="H387" s="365">
        <f t="shared" si="141"/>
        <v>-0.78373649102701926</v>
      </c>
      <c r="I387" s="363">
        <f t="shared" si="142"/>
        <v>138958.0008277031</v>
      </c>
      <c r="J387" s="366">
        <f t="shared" si="143"/>
        <v>1.5707891303758776</v>
      </c>
      <c r="K387" s="374">
        <f t="shared" si="159"/>
        <v>43.005822456523731</v>
      </c>
      <c r="L387" s="375">
        <f t="shared" si="160"/>
        <v>1.5475415654808491</v>
      </c>
      <c r="M387" s="363">
        <f t="shared" si="144"/>
        <v>1.6686183216800294</v>
      </c>
      <c r="N387" s="366">
        <f t="shared" si="145"/>
        <v>0.92817214727757336</v>
      </c>
      <c r="O387" s="367">
        <f t="shared" si="146"/>
        <v>1.1395803921465166</v>
      </c>
      <c r="P387" s="368">
        <f t="shared" si="147"/>
        <v>0.61893824882943205</v>
      </c>
      <c r="Q387" s="369">
        <f t="shared" si="148"/>
        <v>-16.012062669130554</v>
      </c>
      <c r="R387" s="370">
        <f t="shared" si="149"/>
        <v>-209.49297096107787</v>
      </c>
      <c r="S387" s="372">
        <f t="shared" si="150"/>
        <v>-29.492970961077873</v>
      </c>
      <c r="U387" s="345">
        <f t="shared" si="156"/>
        <v>33498.5</v>
      </c>
      <c r="V387" s="345">
        <f t="shared" si="157"/>
        <v>1122149502.25</v>
      </c>
      <c r="X387" s="371">
        <f t="shared" si="151"/>
        <v>13.462408180976714</v>
      </c>
      <c r="Y387" s="372">
        <f t="shared" si="152"/>
        <v>-54.512334115331058</v>
      </c>
      <c r="AA387" s="371">
        <f t="shared" si="153"/>
        <v>28.026754417726735</v>
      </c>
      <c r="AB387" s="372">
        <f t="shared" si="154"/>
        <v>-154.98063684574677</v>
      </c>
      <c r="AD387">
        <f t="shared" si="158"/>
        <v>0</v>
      </c>
      <c r="AE387">
        <f t="shared" si="161"/>
        <v>0</v>
      </c>
    </row>
    <row r="388" spans="1:31" x14ac:dyDescent="0.2">
      <c r="A388" s="373">
        <v>33691.25</v>
      </c>
      <c r="B388" s="390">
        <f t="shared" si="155"/>
        <v>33.691249999999997</v>
      </c>
      <c r="C388" s="363">
        <f t="shared" si="136"/>
        <v>47.556613721653797</v>
      </c>
      <c r="D388" s="364">
        <f t="shared" si="137"/>
        <v>1.5497672074039912</v>
      </c>
      <c r="E388" s="364">
        <f t="shared" si="138"/>
        <v>1.0317602575414271</v>
      </c>
      <c r="F388" s="365">
        <f t="shared" si="139"/>
        <v>0.2487642731031183</v>
      </c>
      <c r="G388" s="364">
        <f t="shared" si="140"/>
        <v>1.4159237159242319</v>
      </c>
      <c r="H388" s="365">
        <f t="shared" si="141"/>
        <v>-0.78660523580523711</v>
      </c>
      <c r="I388" s="363">
        <f t="shared" si="142"/>
        <v>139757.56363374385</v>
      </c>
      <c r="J388" s="366">
        <f t="shared" si="143"/>
        <v>1.5707891715470945</v>
      </c>
      <c r="K388" s="374">
        <f t="shared" si="159"/>
        <v>43.253144072152026</v>
      </c>
      <c r="L388" s="375">
        <f t="shared" si="160"/>
        <v>1.5476745600495141</v>
      </c>
      <c r="M388" s="363">
        <f t="shared" si="144"/>
        <v>1.6747775120878972</v>
      </c>
      <c r="N388" s="366">
        <f t="shared" si="145"/>
        <v>0.93092249632164692</v>
      </c>
      <c r="O388" s="367">
        <f t="shared" si="146"/>
        <v>1.1411180278264508</v>
      </c>
      <c r="P388" s="368">
        <f t="shared" si="147"/>
        <v>0.62207502291948291</v>
      </c>
      <c r="Q388" s="369">
        <f t="shared" si="148"/>
        <v>-16.077705823194073</v>
      </c>
      <c r="R388" s="370">
        <f t="shared" si="149"/>
        <v>-209.91571079467215</v>
      </c>
      <c r="S388" s="372">
        <f t="shared" si="150"/>
        <v>-29.915710794672151</v>
      </c>
      <c r="U388" s="345">
        <f t="shared" si="156"/>
        <v>33691.25</v>
      </c>
      <c r="V388" s="345">
        <f t="shared" si="157"/>
        <v>1135100326.5625</v>
      </c>
      <c r="X388" s="371">
        <f t="shared" si="151"/>
        <v>13.430379131272648</v>
      </c>
      <c r="Y388" s="372">
        <f t="shared" si="152"/>
        <v>-54.662299839369979</v>
      </c>
      <c r="AA388" s="371">
        <f t="shared" si="153"/>
        <v>27.993140313367277</v>
      </c>
      <c r="AB388" s="372">
        <f t="shared" si="154"/>
        <v>-155.25341095530214</v>
      </c>
      <c r="AD388">
        <f t="shared" si="158"/>
        <v>0</v>
      </c>
      <c r="AE388">
        <f t="shared" si="161"/>
        <v>0</v>
      </c>
    </row>
    <row r="389" spans="1:31" x14ac:dyDescent="0.2">
      <c r="A389" s="373">
        <v>33884</v>
      </c>
      <c r="B389" s="390">
        <f t="shared" si="155"/>
        <v>33.884</v>
      </c>
      <c r="C389" s="363">
        <f t="shared" si="136"/>
        <v>47.828568480047728</v>
      </c>
      <c r="D389" s="364">
        <f t="shared" si="137"/>
        <v>1.5498867971231891</v>
      </c>
      <c r="E389" s="364">
        <f t="shared" si="138"/>
        <v>1.032119030732032</v>
      </c>
      <c r="F389" s="365">
        <f t="shared" si="139"/>
        <v>0.25012900409570166</v>
      </c>
      <c r="G389" s="364">
        <f t="shared" si="140"/>
        <v>1.4199895696807765</v>
      </c>
      <c r="H389" s="365">
        <f t="shared" si="141"/>
        <v>-0.78945757580136067</v>
      </c>
      <c r="I389" s="363">
        <f t="shared" si="142"/>
        <v>140557.12643978486</v>
      </c>
      <c r="J389" s="366">
        <f t="shared" si="143"/>
        <v>1.5707892122499045</v>
      </c>
      <c r="K389" s="374">
        <f t="shared" si="159"/>
        <v>43.500466444123404</v>
      </c>
      <c r="L389" s="375">
        <f t="shared" si="160"/>
        <v>1.5478060423363686</v>
      </c>
      <c r="M389" s="363">
        <f t="shared" si="144"/>
        <v>1.6809492783211009</v>
      </c>
      <c r="N389" s="366">
        <f t="shared" si="145"/>
        <v>0.93365266955207538</v>
      </c>
      <c r="O389" s="367">
        <f t="shared" si="146"/>
        <v>1.1426630050973634</v>
      </c>
      <c r="P389" s="368">
        <f t="shared" si="147"/>
        <v>0.62520575995032746</v>
      </c>
      <c r="Q389" s="369">
        <f t="shared" si="148"/>
        <v>-16.143037340216274</v>
      </c>
      <c r="R389" s="370">
        <f t="shared" si="149"/>
        <v>-210.33607087286174</v>
      </c>
      <c r="S389" s="372">
        <f t="shared" si="150"/>
        <v>-30.33607087286174</v>
      </c>
      <c r="U389" s="345">
        <f t="shared" si="156"/>
        <v>33884</v>
      </c>
      <c r="V389" s="345">
        <f t="shared" si="157"/>
        <v>1148125456</v>
      </c>
      <c r="X389" s="371">
        <f t="shared" si="151"/>
        <v>13.398403030906096</v>
      </c>
      <c r="Y389" s="372">
        <f t="shared" si="152"/>
        <v>-54.811196194964992</v>
      </c>
      <c r="AA389" s="371">
        <f t="shared" si="153"/>
        <v>27.959784896711632</v>
      </c>
      <c r="AB389" s="372">
        <f t="shared" si="154"/>
        <v>-155.52487467789675</v>
      </c>
      <c r="AD389">
        <f t="shared" si="158"/>
        <v>0</v>
      </c>
      <c r="AE389">
        <f t="shared" si="161"/>
        <v>0</v>
      </c>
    </row>
    <row r="390" spans="1:31" x14ac:dyDescent="0.2">
      <c r="A390" s="373">
        <v>34081.5</v>
      </c>
      <c r="B390" s="390">
        <f t="shared" si="155"/>
        <v>34.081499999999998</v>
      </c>
      <c r="C390" s="363">
        <f t="shared" si="136"/>
        <v>48.10722580807893</v>
      </c>
      <c r="D390" s="364">
        <f t="shared" si="137"/>
        <v>1.55000793143301</v>
      </c>
      <c r="E390" s="364">
        <f t="shared" si="138"/>
        <v>1.0324886378342775</v>
      </c>
      <c r="F390" s="365">
        <f t="shared" si="139"/>
        <v>0.25152638012237599</v>
      </c>
      <c r="G390" s="364">
        <f t="shared" si="140"/>
        <v>1.4241675336201285</v>
      </c>
      <c r="H390" s="365">
        <f t="shared" si="141"/>
        <v>-0.79236328937526068</v>
      </c>
      <c r="I390" s="363">
        <f t="shared" si="142"/>
        <v>141376.39312820585</v>
      </c>
      <c r="J390" s="366">
        <f t="shared" si="143"/>
        <v>1.5707892534782142</v>
      </c>
      <c r="K390" s="374">
        <f t="shared" si="159"/>
        <v>43.753884431658044</v>
      </c>
      <c r="L390" s="375">
        <f t="shared" si="160"/>
        <v>1.5479392229552951</v>
      </c>
      <c r="M390" s="363">
        <f t="shared" si="144"/>
        <v>1.6872860375553538</v>
      </c>
      <c r="N390" s="366">
        <f t="shared" si="145"/>
        <v>0.93642938479234539</v>
      </c>
      <c r="O390" s="367">
        <f t="shared" si="146"/>
        <v>1.1442536507093</v>
      </c>
      <c r="P390" s="368">
        <f t="shared" si="147"/>
        <v>0.62840738134736263</v>
      </c>
      <c r="Q390" s="369">
        <f t="shared" si="148"/>
        <v>-16.209658907850727</v>
      </c>
      <c r="R390" s="370">
        <f t="shared" si="149"/>
        <v>-210.76433786625196</v>
      </c>
      <c r="S390" s="372">
        <f t="shared" si="150"/>
        <v>-30.764337866251964</v>
      </c>
      <c r="U390" s="345">
        <f t="shared" si="156"/>
        <v>34081.5</v>
      </c>
      <c r="V390" s="345">
        <f t="shared" si="157"/>
        <v>1161548642.25</v>
      </c>
      <c r="X390" s="371">
        <f t="shared" si="151"/>
        <v>13.36569443527072</v>
      </c>
      <c r="Y390" s="372">
        <f t="shared" si="152"/>
        <v>-54.962661934145906</v>
      </c>
      <c r="AA390" s="371">
        <f t="shared" si="153"/>
        <v>27.925871924712553</v>
      </c>
      <c r="AB390" s="372">
        <f t="shared" si="154"/>
        <v>-155.80167593210604</v>
      </c>
      <c r="AD390">
        <f t="shared" si="158"/>
        <v>0</v>
      </c>
      <c r="AE390">
        <f t="shared" si="161"/>
        <v>0</v>
      </c>
    </row>
    <row r="391" spans="1:31" x14ac:dyDescent="0.2">
      <c r="A391" s="373">
        <v>34279</v>
      </c>
      <c r="B391" s="390">
        <f t="shared" si="155"/>
        <v>34.279000000000003</v>
      </c>
      <c r="C391" s="363">
        <f t="shared" si="136"/>
        <v>48.385883833881849</v>
      </c>
      <c r="D391" s="364">
        <f t="shared" si="137"/>
        <v>1.5501276705009606</v>
      </c>
      <c r="E391" s="364">
        <f t="shared" si="138"/>
        <v>1.0328602595903285</v>
      </c>
      <c r="F391" s="365">
        <f t="shared" si="139"/>
        <v>0.25292275332596681</v>
      </c>
      <c r="G391" s="364">
        <f t="shared" si="140"/>
        <v>1.4283574516474298</v>
      </c>
      <c r="H391" s="365">
        <f t="shared" si="141"/>
        <v>-0.79525198008417819</v>
      </c>
      <c r="I391" s="363">
        <f t="shared" si="142"/>
        <v>142195.65981662707</v>
      </c>
      <c r="J391" s="366">
        <f t="shared" si="143"/>
        <v>1.5707892942314463</v>
      </c>
      <c r="K391" s="374">
        <f t="shared" si="159"/>
        <v>44.007303186320677</v>
      </c>
      <c r="L391" s="375">
        <f t="shared" si="160"/>
        <v>1.5480708697190084</v>
      </c>
      <c r="M391" s="363">
        <f t="shared" si="144"/>
        <v>1.6936357086072662</v>
      </c>
      <c r="N391" s="366">
        <f t="shared" si="145"/>
        <v>0.93918530058107996</v>
      </c>
      <c r="O391" s="367">
        <f t="shared" si="146"/>
        <v>1.1458519631174395</v>
      </c>
      <c r="P391" s="368">
        <f t="shared" si="147"/>
        <v>0.63160265392871573</v>
      </c>
      <c r="Q391" s="369">
        <f t="shared" si="148"/>
        <v>-16.275959978184474</v>
      </c>
      <c r="R391" s="370">
        <f t="shared" si="149"/>
        <v>-211.19013941245788</v>
      </c>
      <c r="S391" s="372">
        <f t="shared" si="150"/>
        <v>-31.190139412457881</v>
      </c>
      <c r="U391" s="345">
        <f t="shared" si="156"/>
        <v>34279</v>
      </c>
      <c r="V391" s="345">
        <f t="shared" si="157"/>
        <v>1175049841</v>
      </c>
      <c r="X391" s="371">
        <f t="shared" si="151"/>
        <v>13.333042588272813</v>
      </c>
      <c r="Y391" s="372">
        <f t="shared" si="152"/>
        <v>-55.113023808746547</v>
      </c>
      <c r="AA391" s="371">
        <f t="shared" si="153"/>
        <v>27.89222270137671</v>
      </c>
      <c r="AB391" s="372">
        <f t="shared" si="154"/>
        <v>-156.07711560371129</v>
      </c>
      <c r="AD391">
        <f t="shared" si="158"/>
        <v>0</v>
      </c>
      <c r="AE391">
        <f t="shared" si="161"/>
        <v>0</v>
      </c>
    </row>
    <row r="392" spans="1:31" x14ac:dyDescent="0.2">
      <c r="A392" s="373">
        <v>34476.5</v>
      </c>
      <c r="B392" s="390">
        <f t="shared" si="155"/>
        <v>34.476500000000001</v>
      </c>
      <c r="C392" s="363">
        <f t="shared" si="136"/>
        <v>48.664542545469935</v>
      </c>
      <c r="D392" s="364">
        <f t="shared" si="137"/>
        <v>1.5502460382915186</v>
      </c>
      <c r="E392" s="364">
        <f t="shared" si="138"/>
        <v>1.0332338938263623</v>
      </c>
      <c r="F392" s="365">
        <f t="shared" si="139"/>
        <v>0.25431811934601578</v>
      </c>
      <c r="G392" s="364">
        <f t="shared" si="140"/>
        <v>1.432559218873515</v>
      </c>
      <c r="H392" s="365">
        <f t="shared" si="141"/>
        <v>-0.79812374929362839</v>
      </c>
      <c r="I392" s="363">
        <f t="shared" si="142"/>
        <v>143014.9265050485</v>
      </c>
      <c r="J392" s="366">
        <f t="shared" si="143"/>
        <v>1.5707893345177655</v>
      </c>
      <c r="K392" s="374">
        <f t="shared" si="159"/>
        <v>44.260722694934529</v>
      </c>
      <c r="L392" s="375">
        <f t="shared" si="160"/>
        <v>1.5482010089696627</v>
      </c>
      <c r="M392" s="363">
        <f t="shared" si="144"/>
        <v>1.6999981467958718</v>
      </c>
      <c r="N392" s="366">
        <f t="shared" si="145"/>
        <v>0.94192060835307523</v>
      </c>
      <c r="O392" s="367">
        <f t="shared" si="146"/>
        <v>1.1474579215634437</v>
      </c>
      <c r="P392" s="368">
        <f t="shared" si="147"/>
        <v>0.63479157281761311</v>
      </c>
      <c r="Q392" s="369">
        <f t="shared" si="148"/>
        <v>-16.341943857824781</v>
      </c>
      <c r="R392" s="370">
        <f t="shared" si="149"/>
        <v>-211.61349212235584</v>
      </c>
      <c r="S392" s="372">
        <f t="shared" si="150"/>
        <v>-31.613492122355836</v>
      </c>
      <c r="U392" s="345">
        <f t="shared" si="156"/>
        <v>34476.5</v>
      </c>
      <c r="V392" s="345">
        <f t="shared" si="157"/>
        <v>1188629052.25</v>
      </c>
      <c r="X392" s="371">
        <f t="shared" si="151"/>
        <v>13.300448045666817</v>
      </c>
      <c r="Y392" s="372">
        <f t="shared" si="152"/>
        <v>-55.262291278346346</v>
      </c>
      <c r="AA392" s="371">
        <f t="shared" si="153"/>
        <v>27.858833364342402</v>
      </c>
      <c r="AB392" s="372">
        <f t="shared" si="154"/>
        <v>-156.35120084400947</v>
      </c>
      <c r="AD392">
        <f t="shared" si="158"/>
        <v>0</v>
      </c>
      <c r="AE392">
        <f t="shared" si="161"/>
        <v>0</v>
      </c>
    </row>
    <row r="393" spans="1:31" x14ac:dyDescent="0.2">
      <c r="A393" s="373">
        <v>34674</v>
      </c>
      <c r="B393" s="390">
        <f t="shared" si="155"/>
        <v>34.673999999999999</v>
      </c>
      <c r="C393" s="363">
        <f t="shared" si="136"/>
        <v>48.943201931129629</v>
      </c>
      <c r="D393" s="364">
        <f t="shared" si="137"/>
        <v>1.5503630582235486</v>
      </c>
      <c r="E393" s="364">
        <f t="shared" si="138"/>
        <v>1.0336095383599355</v>
      </c>
      <c r="F393" s="365">
        <f t="shared" si="139"/>
        <v>0.25571247384404056</v>
      </c>
      <c r="G393" s="364">
        <f t="shared" si="140"/>
        <v>1.4367727313412884</v>
      </c>
      <c r="H393" s="365">
        <f t="shared" si="141"/>
        <v>-0.80097869830149815</v>
      </c>
      <c r="I393" s="363">
        <f t="shared" si="142"/>
        <v>143834.19319347019</v>
      </c>
      <c r="J393" s="366">
        <f t="shared" si="143"/>
        <v>1.5707893743451502</v>
      </c>
      <c r="K393" s="374">
        <f t="shared" si="159"/>
        <v>44.514142944622847</v>
      </c>
      <c r="L393" s="375">
        <f t="shared" si="160"/>
        <v>1.5483296664497526</v>
      </c>
      <c r="M393" s="363">
        <f t="shared" si="144"/>
        <v>1.7063732093093036</v>
      </c>
      <c r="N393" s="366">
        <f t="shared" si="145"/>
        <v>0.94463549792441059</v>
      </c>
      <c r="O393" s="367">
        <f t="shared" si="146"/>
        <v>1.1490715053171965</v>
      </c>
      <c r="P393" s="368">
        <f t="shared" si="147"/>
        <v>0.63797413344270282</v>
      </c>
      <c r="Q393" s="369">
        <f t="shared" si="148"/>
        <v>-16.407613802090729</v>
      </c>
      <c r="R393" s="370">
        <f t="shared" si="149"/>
        <v>-212.03441252952797</v>
      </c>
      <c r="S393" s="372">
        <f t="shared" si="150"/>
        <v>-32.03441252952797</v>
      </c>
      <c r="U393" s="345">
        <f t="shared" si="156"/>
        <v>34674</v>
      </c>
      <c r="V393" s="345">
        <f t="shared" si="157"/>
        <v>1202286276</v>
      </c>
      <c r="X393" s="371">
        <f t="shared" si="151"/>
        <v>13.26791134360268</v>
      </c>
      <c r="Y393" s="372">
        <f t="shared" si="152"/>
        <v>-55.410473744126399</v>
      </c>
      <c r="AA393" s="371">
        <f t="shared" si="153"/>
        <v>27.825700122140592</v>
      </c>
      <c r="AB393" s="372">
        <f t="shared" si="154"/>
        <v>-156.62393878540161</v>
      </c>
      <c r="AD393">
        <f t="shared" si="158"/>
        <v>0</v>
      </c>
      <c r="AE393">
        <f t="shared" si="161"/>
        <v>0</v>
      </c>
    </row>
    <row r="394" spans="1:31" x14ac:dyDescent="0.2">
      <c r="A394" s="373">
        <v>34875.75</v>
      </c>
      <c r="B394" s="390">
        <f t="shared" si="155"/>
        <v>34.875749999999996</v>
      </c>
      <c r="C394" s="363">
        <f t="shared" si="136"/>
        <v>49.227858468663804</v>
      </c>
      <c r="D394" s="364">
        <f t="shared" si="137"/>
        <v>1.5504812284280061</v>
      </c>
      <c r="E394" s="364">
        <f t="shared" si="138"/>
        <v>1.0339953397573032</v>
      </c>
      <c r="F394" s="365">
        <f t="shared" si="139"/>
        <v>0.25713578454360347</v>
      </c>
      <c r="G394" s="364">
        <f t="shared" si="140"/>
        <v>1.4410889342726743</v>
      </c>
      <c r="H394" s="365">
        <f t="shared" si="141"/>
        <v>-0.80387782114532569</v>
      </c>
      <c r="I394" s="363">
        <f t="shared" si="142"/>
        <v>144671.08967138978</v>
      </c>
      <c r="J394" s="366">
        <f t="shared" si="143"/>
        <v>1.5707894145638333</v>
      </c>
      <c r="K394" s="374">
        <f t="shared" si="159"/>
        <v>44.773017293537173</v>
      </c>
      <c r="L394" s="375">
        <f t="shared" si="160"/>
        <v>1.5484595887264783</v>
      </c>
      <c r="M394" s="363">
        <f t="shared" si="144"/>
        <v>1.7128983448705264</v>
      </c>
      <c r="N394" s="366">
        <f t="shared" si="145"/>
        <v>0.94738792287331364</v>
      </c>
      <c r="O394" s="367">
        <f t="shared" si="146"/>
        <v>1.1507276634390937</v>
      </c>
      <c r="P394" s="368">
        <f t="shared" si="147"/>
        <v>0.64121861014110881</v>
      </c>
      <c r="Q394" s="369">
        <f t="shared" si="148"/>
        <v>-16.474376088385345</v>
      </c>
      <c r="R394" s="370">
        <f t="shared" si="149"/>
        <v>-212.46189645200212</v>
      </c>
      <c r="S394" s="372">
        <f t="shared" si="150"/>
        <v>-32.461896452002122</v>
      </c>
      <c r="U394" s="345">
        <f t="shared" si="156"/>
        <v>34875.75</v>
      </c>
      <c r="V394" s="345">
        <f t="shared" si="157"/>
        <v>1216317938.0625</v>
      </c>
      <c r="X394" s="371">
        <f t="shared" si="151"/>
        <v>13.234734743112565</v>
      </c>
      <c r="Y394" s="372">
        <f t="shared" si="152"/>
        <v>-55.560734383536428</v>
      </c>
      <c r="AA394" s="371">
        <f t="shared" si="153"/>
        <v>27.792114436336092</v>
      </c>
      <c r="AB394" s="372">
        <f t="shared" si="154"/>
        <v>-156.90116206846568</v>
      </c>
      <c r="AD394">
        <f t="shared" si="158"/>
        <v>0</v>
      </c>
      <c r="AE394">
        <f t="shared" si="161"/>
        <v>0</v>
      </c>
    </row>
    <row r="395" spans="1:31" x14ac:dyDescent="0.2">
      <c r="A395" s="373">
        <v>35077.5</v>
      </c>
      <c r="B395" s="390">
        <f t="shared" si="155"/>
        <v>35.077500000000001</v>
      </c>
      <c r="C395" s="363">
        <f t="shared" si="136"/>
        <v>49.512515685721198</v>
      </c>
      <c r="D395" s="364">
        <f t="shared" si="137"/>
        <v>1.5505980398664594</v>
      </c>
      <c r="E395" s="364">
        <f t="shared" si="138"/>
        <v>1.03438323427122</v>
      </c>
      <c r="F395" s="365">
        <f t="shared" si="139"/>
        <v>0.25855803063734623</v>
      </c>
      <c r="G395" s="364">
        <f t="shared" si="140"/>
        <v>1.4454171770350177</v>
      </c>
      <c r="H395" s="365">
        <f t="shared" si="141"/>
        <v>-0.80675960547957581</v>
      </c>
      <c r="I395" s="363">
        <f t="shared" si="142"/>
        <v>145507.98614930958</v>
      </c>
      <c r="J395" s="366">
        <f t="shared" si="143"/>
        <v>1.5707894543198768</v>
      </c>
      <c r="K395" s="374">
        <f t="shared" si="159"/>
        <v>45.031892389521722</v>
      </c>
      <c r="L395" s="375">
        <f t="shared" si="160"/>
        <v>1.5485880172354884</v>
      </c>
      <c r="M395" s="363">
        <f t="shared" si="144"/>
        <v>1.7194363585328867</v>
      </c>
      <c r="N395" s="366">
        <f t="shared" si="145"/>
        <v>0.95011943665128484</v>
      </c>
      <c r="O395" s="367">
        <f t="shared" si="146"/>
        <v>1.1523917349433519</v>
      </c>
      <c r="P395" s="368">
        <f t="shared" si="147"/>
        <v>0.6444564433040646</v>
      </c>
      <c r="Q395" s="369">
        <f t="shared" si="148"/>
        <v>-16.540817490600833</v>
      </c>
      <c r="R395" s="370">
        <f t="shared" si="149"/>
        <v>-212.88687688861148</v>
      </c>
      <c r="S395" s="372">
        <f t="shared" si="150"/>
        <v>-32.886876888611482</v>
      </c>
      <c r="U395" s="345">
        <f t="shared" si="156"/>
        <v>35077.5</v>
      </c>
      <c r="V395" s="345">
        <f t="shared" si="157"/>
        <v>1230431006.25</v>
      </c>
      <c r="X395" s="371">
        <f t="shared" si="151"/>
        <v>13.201619569593559</v>
      </c>
      <c r="Y395" s="372">
        <f t="shared" si="152"/>
        <v>-55.709882461184506</v>
      </c>
      <c r="AA395" s="371">
        <f t="shared" si="153"/>
        <v>27.758788207639608</v>
      </c>
      <c r="AB395" s="372">
        <f t="shared" si="154"/>
        <v>-157.17699442742699</v>
      </c>
      <c r="AD395">
        <f t="shared" si="158"/>
        <v>0</v>
      </c>
      <c r="AE395">
        <f t="shared" si="161"/>
        <v>0</v>
      </c>
    </row>
    <row r="396" spans="1:31" x14ac:dyDescent="0.2">
      <c r="A396" s="373">
        <v>35279.25</v>
      </c>
      <c r="B396" s="390">
        <f t="shared" si="155"/>
        <v>35.279249999999998</v>
      </c>
      <c r="C396" s="363">
        <f t="shared" si="136"/>
        <v>49.797173570648681</v>
      </c>
      <c r="D396" s="364">
        <f t="shared" si="137"/>
        <v>1.5507135158372238</v>
      </c>
      <c r="E396" s="364">
        <f t="shared" si="138"/>
        <v>1.0347732195478125</v>
      </c>
      <c r="F396" s="365">
        <f t="shared" si="139"/>
        <v>0.25997920757195564</v>
      </c>
      <c r="G396" s="364">
        <f t="shared" si="140"/>
        <v>1.4497573517937705</v>
      </c>
      <c r="H396" s="365">
        <f t="shared" si="141"/>
        <v>-0.80962415894528295</v>
      </c>
      <c r="I396" s="363">
        <f t="shared" si="142"/>
        <v>146344.88262722964</v>
      </c>
      <c r="J396" s="366">
        <f t="shared" si="143"/>
        <v>1.5707894936212177</v>
      </c>
      <c r="K396" s="374">
        <f t="shared" si="159"/>
        <v>45.290768219766086</v>
      </c>
      <c r="L396" s="375">
        <f t="shared" si="160"/>
        <v>1.5487149775870248</v>
      </c>
      <c r="M396" s="363">
        <f t="shared" si="144"/>
        <v>1.7259871039502193</v>
      </c>
      <c r="N396" s="366">
        <f t="shared" si="145"/>
        <v>0.95283023636158437</v>
      </c>
      <c r="O396" s="367">
        <f t="shared" si="146"/>
        <v>1.1540636978314107</v>
      </c>
      <c r="P396" s="368">
        <f t="shared" si="147"/>
        <v>0.64768762902766452</v>
      </c>
      <c r="Q396" s="369">
        <f t="shared" si="148"/>
        <v>-16.606941319756849</v>
      </c>
      <c r="R396" s="370">
        <f t="shared" si="149"/>
        <v>-213.30937120511749</v>
      </c>
      <c r="S396" s="372">
        <f t="shared" si="150"/>
        <v>-33.309371205117486</v>
      </c>
      <c r="U396" s="345">
        <f t="shared" si="156"/>
        <v>35279.25</v>
      </c>
      <c r="V396" s="345">
        <f t="shared" si="157"/>
        <v>1244625480.5625</v>
      </c>
      <c r="X396" s="371">
        <f t="shared" si="151"/>
        <v>13.168566334018852</v>
      </c>
      <c r="Y396" s="372">
        <f t="shared" si="152"/>
        <v>-55.857927803351565</v>
      </c>
      <c r="AA396" s="371">
        <f t="shared" si="153"/>
        <v>27.725717614058301</v>
      </c>
      <c r="AB396" s="372">
        <f t="shared" si="154"/>
        <v>-157.45144340176591</v>
      </c>
      <c r="AD396">
        <f t="shared" si="158"/>
        <v>0</v>
      </c>
      <c r="AE396">
        <f t="shared" si="161"/>
        <v>0</v>
      </c>
    </row>
    <row r="397" spans="1:31" x14ac:dyDescent="0.2">
      <c r="A397" s="373">
        <v>35481</v>
      </c>
      <c r="B397" s="390">
        <f t="shared" si="155"/>
        <v>35.481000000000002</v>
      </c>
      <c r="C397" s="363">
        <f t="shared" ref="C397:C460" si="162">SQRT(1+(A397/pole1)^2)</f>
        <v>50.081832112058017</v>
      </c>
      <c r="D397" s="364">
        <f t="shared" ref="D397:D460" si="163">ATAN(A397/pole1)</f>
        <v>1.5508276791090612</v>
      </c>
      <c r="E397" s="364">
        <f t="shared" ref="E397:E460" si="164">SQRT(1+(A397/Zero1)^2)</f>
        <v>1.0351652932240762</v>
      </c>
      <c r="F397" s="365">
        <f t="shared" ref="F397:F460" si="165">ATAN(A397/Zero1)</f>
        <v>0.2613993108182372</v>
      </c>
      <c r="G397" s="364">
        <f t="shared" ref="G397:G460" si="166">IF(VIN_nom&gt;Vout, 1, SQRT(1+(A397/z_RHP)^2))</f>
        <v>1.4541093517063206</v>
      </c>
      <c r="H397" s="365">
        <f t="shared" ref="H397:H460" si="167">IF(VIN_nom&gt;Vout, 0, -ATAN(A397/z_RHP))</f>
        <v>-0.81247158903127614</v>
      </c>
      <c r="I397" s="363">
        <f t="shared" ref="I397:I460" si="168">SQRT(1+(A397/Pole2)^2)</f>
        <v>147181.77910514994</v>
      </c>
      <c r="J397" s="366">
        <f t="shared" ref="J397:J460" si="169">ATAN(A397/Pole2)</f>
        <v>1.5707895324756127</v>
      </c>
      <c r="K397" s="374">
        <f t="shared" si="159"/>
        <v>45.549644771751041</v>
      </c>
      <c r="L397" s="375">
        <f t="shared" si="160"/>
        <v>1.5488404948093089</v>
      </c>
      <c r="M397" s="363">
        <f t="shared" ref="M397:M460" si="170">SQRT(1+(A397/pole4)^2)</f>
        <v>1.7325504367068465</v>
      </c>
      <c r="N397" s="366">
        <f t="shared" ref="N397:N460" si="171">ATAN(A397/pole4)</f>
        <v>0.95552051734720278</v>
      </c>
      <c r="O397" s="367">
        <f t="shared" ref="O397:O460" si="172">SQRT((1-(V397/pterm2))^2+(A397/pterm1)^2)</f>
        <v>1.1557435301405194</v>
      </c>
      <c r="P397" s="368">
        <f t="shared" ref="P397:P460" si="173">IF((ATAN((A397/pterm1)/(1-A397^2/pterm2))&gt;0),ATAN((A397/pterm1)/(1-A397^2/pterm2)),PI()+ATAN((A397/pterm1)/(1-A397^2/pterm2)))</f>
        <v>0.65091216372822647</v>
      </c>
      <c r="Q397" s="369">
        <f t="shared" ref="Q397:Q460" si="174">20*LOG10(((E397*K397*G397)/(C397*I397*O397*M397))*Adc)</f>
        <v>-16.672750835489939</v>
      </c>
      <c r="R397" s="370">
        <f t="shared" ref="R397:R460" si="175">((F397+L397+H397)-(D397+J397+P397+N397))*radconv</f>
        <v>-213.72939667766596</v>
      </c>
      <c r="S397" s="372">
        <f t="shared" ref="S397:S460" si="176">IF(R397&gt;0,R397,R397+180)</f>
        <v>-33.72939667766596</v>
      </c>
      <c r="U397" s="345">
        <f t="shared" si="156"/>
        <v>35481</v>
      </c>
      <c r="V397" s="345">
        <f t="shared" si="157"/>
        <v>1258901361</v>
      </c>
      <c r="X397" s="371">
        <f t="shared" ref="X397:X460" si="177">20*LOG10((K397/(I397*M397))*AEA)</f>
        <v>13.135575527894028</v>
      </c>
      <c r="Y397" s="372">
        <f t="shared" ref="Y397:Y460" si="178">(L397-(J397+N397))*radconv</f>
        <v>-56.004880168799481</v>
      </c>
      <c r="AA397" s="371">
        <f t="shared" ref="AA397:AA460" si="179">20*LOG10((E397*G397/(C397*O397))*Acs*Am)</f>
        <v>27.692898904450033</v>
      </c>
      <c r="AB397" s="372">
        <f t="shared" ref="AB397:AB460" si="180">(F397+H397-(D397+P397))*radconv</f>
        <v>-157.72451650886651</v>
      </c>
      <c r="AD397">
        <f t="shared" si="158"/>
        <v>0</v>
      </c>
      <c r="AE397">
        <f t="shared" si="161"/>
        <v>0</v>
      </c>
    </row>
    <row r="398" spans="1:31" x14ac:dyDescent="0.2">
      <c r="A398" s="373">
        <v>35687.75</v>
      </c>
      <c r="B398" s="390">
        <f t="shared" ref="B398:B461" si="181">A398/1000</f>
        <v>35.687750000000001</v>
      </c>
      <c r="C398" s="363">
        <f t="shared" si="162"/>
        <v>50.373546057520983</v>
      </c>
      <c r="D398" s="364">
        <f t="shared" si="163"/>
        <v>1.5509433330805893</v>
      </c>
      <c r="E398" s="364">
        <f t="shared" si="164"/>
        <v>1.0355692479154048</v>
      </c>
      <c r="F398" s="365">
        <f t="shared" si="165"/>
        <v>0.26285349004821279</v>
      </c>
      <c r="G398" s="364">
        <f t="shared" si="166"/>
        <v>1.4585813655312236</v>
      </c>
      <c r="H398" s="365">
        <f t="shared" si="167"/>
        <v>-0.81537193446115985</v>
      </c>
      <c r="I398" s="363">
        <f t="shared" si="168"/>
        <v>148039.41651189126</v>
      </c>
      <c r="J398" s="366">
        <f t="shared" si="169"/>
        <v>1.5707895718371727</v>
      </c>
      <c r="K398" s="374">
        <f t="shared" si="159"/>
        <v>45.814937835492444</v>
      </c>
      <c r="L398" s="375">
        <f t="shared" si="160"/>
        <v>1.5489676511086758</v>
      </c>
      <c r="M398" s="363">
        <f t="shared" si="170"/>
        <v>1.7392893395809146</v>
      </c>
      <c r="N398" s="366">
        <f t="shared" si="171"/>
        <v>0.95825638664811497</v>
      </c>
      <c r="O398" s="367">
        <f t="shared" si="172"/>
        <v>1.1574731354275589</v>
      </c>
      <c r="P398" s="368">
        <f t="shared" si="173"/>
        <v>0.65420970881725893</v>
      </c>
      <c r="Q398" s="369">
        <f t="shared" si="174"/>
        <v>-16.739868580472908</v>
      </c>
      <c r="R398" s="370">
        <f t="shared" si="175"/>
        <v>-214.15728829889298</v>
      </c>
      <c r="S398" s="372">
        <f t="shared" si="176"/>
        <v>-34.157288298892979</v>
      </c>
      <c r="U398" s="345">
        <f t="shared" ref="U398:U461" si="182">IF(Q398&lt;0,A398,1000000000)</f>
        <v>35687.75</v>
      </c>
      <c r="V398" s="345">
        <f t="shared" ref="V398:V461" si="183">A398^2</f>
        <v>1273615500.0625</v>
      </c>
      <c r="X398" s="371">
        <f t="shared" si="177"/>
        <v>13.101832369305232</v>
      </c>
      <c r="Y398" s="372">
        <f t="shared" si="178"/>
        <v>-56.154350669170967</v>
      </c>
      <c r="AA398" s="371">
        <f t="shared" si="179"/>
        <v>27.659524318055865</v>
      </c>
      <c r="AB398" s="372">
        <f t="shared" si="180"/>
        <v>-158.002937629722</v>
      </c>
      <c r="AD398">
        <f t="shared" ref="AD398:AD461" si="184">SUM((Q399&lt;0)*(Q398&gt;0))*A398</f>
        <v>0</v>
      </c>
      <c r="AE398">
        <f t="shared" si="161"/>
        <v>0</v>
      </c>
    </row>
    <row r="399" spans="1:31" x14ac:dyDescent="0.2">
      <c r="A399" s="373">
        <v>35894.5</v>
      </c>
      <c r="B399" s="390">
        <f t="shared" si="181"/>
        <v>35.894500000000001</v>
      </c>
      <c r="C399" s="363">
        <f t="shared" si="162"/>
        <v>50.665260669013584</v>
      </c>
      <c r="D399" s="364">
        <f t="shared" si="163"/>
        <v>1.551057655255357</v>
      </c>
      <c r="E399" s="364">
        <f t="shared" si="164"/>
        <v>1.0359753907495568</v>
      </c>
      <c r="F399" s="365">
        <f t="shared" si="165"/>
        <v>0.26430653215868177</v>
      </c>
      <c r="G399" s="364">
        <f t="shared" si="166"/>
        <v>1.4630655738812528</v>
      </c>
      <c r="H399" s="365">
        <f t="shared" si="167"/>
        <v>-0.81825452524580555</v>
      </c>
      <c r="I399" s="363">
        <f t="shared" si="168"/>
        <v>148897.05391863282</v>
      </c>
      <c r="J399" s="366">
        <f t="shared" si="169"/>
        <v>1.5707896107452926</v>
      </c>
      <c r="K399" s="374">
        <f t="shared" si="159"/>
        <v>46.080231631473438</v>
      </c>
      <c r="L399" s="375">
        <f t="shared" si="160"/>
        <v>1.5490933432777738</v>
      </c>
      <c r="M399" s="363">
        <f t="shared" si="170"/>
        <v>1.7460411604547448</v>
      </c>
      <c r="N399" s="366">
        <f t="shared" si="171"/>
        <v>0.96097111730189311</v>
      </c>
      <c r="O399" s="367">
        <f t="shared" si="172"/>
        <v>1.1592109584464469</v>
      </c>
      <c r="P399" s="368">
        <f t="shared" si="173"/>
        <v>0.65750026252893012</v>
      </c>
      <c r="Q399" s="369">
        <f t="shared" si="174"/>
        <v>-16.806663009926854</v>
      </c>
      <c r="R399" s="370">
        <f t="shared" si="175"/>
        <v>-214.58262363051688</v>
      </c>
      <c r="S399" s="372">
        <f t="shared" si="176"/>
        <v>-34.582623630516878</v>
      </c>
      <c r="U399" s="345">
        <f t="shared" si="182"/>
        <v>35894.5</v>
      </c>
      <c r="V399" s="345">
        <f t="shared" si="183"/>
        <v>1288415130.25</v>
      </c>
      <c r="X399" s="371">
        <f t="shared" si="177"/>
        <v>13.068155757297841</v>
      </c>
      <c r="Y399" s="372">
        <f t="shared" si="178"/>
        <v>-56.302693876780644</v>
      </c>
      <c r="AA399" s="371">
        <f t="shared" si="179"/>
        <v>27.626406500609306</v>
      </c>
      <c r="AB399" s="372">
        <f t="shared" si="180"/>
        <v>-158.27992975373621</v>
      </c>
      <c r="AD399">
        <f t="shared" si="184"/>
        <v>0</v>
      </c>
      <c r="AE399">
        <f t="shared" si="161"/>
        <v>0</v>
      </c>
    </row>
    <row r="400" spans="1:31" x14ac:dyDescent="0.2">
      <c r="A400" s="373">
        <v>36101.25</v>
      </c>
      <c r="B400" s="390">
        <f t="shared" si="181"/>
        <v>36.10125</v>
      </c>
      <c r="C400" s="363">
        <f t="shared" si="162"/>
        <v>50.956975935097319</v>
      </c>
      <c r="D400" s="364">
        <f t="shared" si="163"/>
        <v>1.5511706685029076</v>
      </c>
      <c r="E400" s="364">
        <f t="shared" si="164"/>
        <v>1.0363837191540335</v>
      </c>
      <c r="F400" s="365">
        <f t="shared" si="165"/>
        <v>0.26575843235441632</v>
      </c>
      <c r="G400" s="364">
        <f t="shared" si="166"/>
        <v>1.4675618649734772</v>
      </c>
      <c r="H400" s="365">
        <f t="shared" si="167"/>
        <v>-0.82111947644973138</v>
      </c>
      <c r="I400" s="363">
        <f t="shared" si="168"/>
        <v>149754.69132537459</v>
      </c>
      <c r="J400" s="366">
        <f t="shared" si="169"/>
        <v>1.5707896492077629</v>
      </c>
      <c r="K400" s="374">
        <f t="shared" si="159"/>
        <v>46.345526147119443</v>
      </c>
      <c r="L400" s="375">
        <f t="shared" si="160"/>
        <v>1.5492175964558477</v>
      </c>
      <c r="M400" s="363">
        <f t="shared" si="170"/>
        <v>1.7528057500476479</v>
      </c>
      <c r="N400" s="366">
        <f t="shared" si="171"/>
        <v>0.96366491380314312</v>
      </c>
      <c r="O400" s="367">
        <f t="shared" si="172"/>
        <v>1.1609569756858404</v>
      </c>
      <c r="P400" s="368">
        <f t="shared" si="173"/>
        <v>0.66078382203238739</v>
      </c>
      <c r="Q400" s="369">
        <f t="shared" si="174"/>
        <v>-16.873137470758945</v>
      </c>
      <c r="R400" s="370">
        <f t="shared" si="175"/>
        <v>-215.00542096487916</v>
      </c>
      <c r="S400" s="372">
        <f t="shared" si="176"/>
        <v>-35.005420964879164</v>
      </c>
      <c r="U400" s="345">
        <f t="shared" si="182"/>
        <v>36101.25</v>
      </c>
      <c r="V400" s="345">
        <f t="shared" si="183"/>
        <v>1303300251.5625</v>
      </c>
      <c r="X400" s="371">
        <f t="shared" si="177"/>
        <v>13.034546160154843</v>
      </c>
      <c r="Y400" s="372">
        <f t="shared" si="178"/>
        <v>-56.449920068380123</v>
      </c>
      <c r="AA400" s="371">
        <f t="shared" si="179"/>
        <v>27.593541636920214</v>
      </c>
      <c r="AB400" s="372">
        <f t="shared" si="180"/>
        <v>-158.55550089649901</v>
      </c>
      <c r="AD400">
        <f t="shared" si="184"/>
        <v>0</v>
      </c>
      <c r="AE400">
        <f t="shared" si="161"/>
        <v>0</v>
      </c>
    </row>
    <row r="401" spans="1:31" x14ac:dyDescent="0.2">
      <c r="A401" s="373">
        <v>36308</v>
      </c>
      <c r="B401" s="390">
        <f t="shared" si="181"/>
        <v>36.308</v>
      </c>
      <c r="C401" s="363">
        <f t="shared" si="162"/>
        <v>51.248691844594092</v>
      </c>
      <c r="D401" s="364">
        <f t="shared" si="163"/>
        <v>1.5512823951722103</v>
      </c>
      <c r="E401" s="364">
        <f t="shared" si="164"/>
        <v>1.0367942305465567</v>
      </c>
      <c r="F401" s="365">
        <f t="shared" si="165"/>
        <v>0.26720918586697989</v>
      </c>
      <c r="G401" s="364">
        <f t="shared" si="166"/>
        <v>1.4720701280913149</v>
      </c>
      <c r="H401" s="365">
        <f t="shared" si="167"/>
        <v>-0.82396690289184848</v>
      </c>
      <c r="I401" s="363">
        <f t="shared" si="168"/>
        <v>150612.32873211658</v>
      </c>
      <c r="J401" s="366">
        <f t="shared" si="169"/>
        <v>1.5707896872321967</v>
      </c>
      <c r="K401" s="374">
        <f t="shared" si="159"/>
        <v>46.610821370142105</v>
      </c>
      <c r="L401" s="375">
        <f t="shared" si="160"/>
        <v>1.5493404352099813</v>
      </c>
      <c r="M401" s="363">
        <f t="shared" si="170"/>
        <v>1.7595829610943761</v>
      </c>
      <c r="N401" s="366">
        <f t="shared" si="171"/>
        <v>0.96633797872014193</v>
      </c>
      <c r="O401" s="367">
        <f t="shared" si="172"/>
        <v>1.1627111636792853</v>
      </c>
      <c r="P401" s="368">
        <f t="shared" si="173"/>
        <v>0.66406038483588703</v>
      </c>
      <c r="Q401" s="369">
        <f t="shared" si="174"/>
        <v>-16.939295257710835</v>
      </c>
      <c r="R401" s="370">
        <f t="shared" si="175"/>
        <v>-215.4256984907187</v>
      </c>
      <c r="S401" s="372">
        <f t="shared" si="176"/>
        <v>-35.425698490718702</v>
      </c>
      <c r="U401" s="345">
        <f t="shared" si="182"/>
        <v>36308</v>
      </c>
      <c r="V401" s="345">
        <f t="shared" si="183"/>
        <v>1318270864</v>
      </c>
      <c r="X401" s="371">
        <f t="shared" si="177"/>
        <v>13.001004026653678</v>
      </c>
      <c r="Y401" s="372">
        <f t="shared" si="178"/>
        <v>-56.59603944312267</v>
      </c>
      <c r="AA401" s="371">
        <f t="shared" si="179"/>
        <v>27.560925983469488</v>
      </c>
      <c r="AB401" s="372">
        <f t="shared" si="180"/>
        <v>-158.82965904759607</v>
      </c>
      <c r="AD401">
        <f t="shared" si="184"/>
        <v>0</v>
      </c>
      <c r="AE401">
        <f t="shared" si="161"/>
        <v>0</v>
      </c>
    </row>
    <row r="402" spans="1:31" x14ac:dyDescent="0.2">
      <c r="A402" s="373">
        <v>36519.5</v>
      </c>
      <c r="B402" s="390">
        <f t="shared" si="181"/>
        <v>36.519500000000001</v>
      </c>
      <c r="C402" s="363">
        <f t="shared" si="162"/>
        <v>51.547110466837644</v>
      </c>
      <c r="D402" s="364">
        <f t="shared" si="163"/>
        <v>1.5513953802338631</v>
      </c>
      <c r="E402" s="364">
        <f t="shared" si="164"/>
        <v>1.0372164293685184</v>
      </c>
      <c r="F402" s="365">
        <f t="shared" si="165"/>
        <v>0.26869207842500703</v>
      </c>
      <c r="G402" s="364">
        <f t="shared" si="166"/>
        <v>1.476694240218672</v>
      </c>
      <c r="H402" s="365">
        <f t="shared" si="167"/>
        <v>-0.8268617339532095</v>
      </c>
      <c r="I402" s="363">
        <f t="shared" si="168"/>
        <v>151489.67002123862</v>
      </c>
      <c r="J402" s="366">
        <f t="shared" si="169"/>
        <v>1.5707897256847361</v>
      </c>
      <c r="K402" s="374">
        <f t="shared" si="159"/>
        <v>46.882212366076324</v>
      </c>
      <c r="L402" s="375">
        <f t="shared" si="160"/>
        <v>1.5494646576271616</v>
      </c>
      <c r="M402" s="363">
        <f t="shared" si="170"/>
        <v>1.7665287841836526</v>
      </c>
      <c r="N402" s="366">
        <f t="shared" si="171"/>
        <v>0.96905121394107596</v>
      </c>
      <c r="O402" s="367">
        <f t="shared" si="172"/>
        <v>1.1645140835239054</v>
      </c>
      <c r="P402" s="368">
        <f t="shared" si="173"/>
        <v>0.66740498346982802</v>
      </c>
      <c r="Q402" s="369">
        <f t="shared" si="174"/>
        <v>-17.006648704855817</v>
      </c>
      <c r="R402" s="370">
        <f t="shared" si="175"/>
        <v>-215.85304327137953</v>
      </c>
      <c r="S402" s="372">
        <f t="shared" si="176"/>
        <v>-35.853043271379534</v>
      </c>
      <c r="U402" s="345">
        <f t="shared" si="182"/>
        <v>36519.5</v>
      </c>
      <c r="V402" s="345">
        <f t="shared" si="183"/>
        <v>1333673880.25</v>
      </c>
      <c r="X402" s="371">
        <f t="shared" si="177"/>
        <v>12.966761530151327</v>
      </c>
      <c r="Y402" s="372">
        <f t="shared" si="178"/>
        <v>-56.744381153220829</v>
      </c>
      <c r="AA402" s="371">
        <f t="shared" si="179"/>
        <v>27.527815032826858</v>
      </c>
      <c r="AB402" s="372">
        <f t="shared" si="180"/>
        <v>-159.10866211815872</v>
      </c>
      <c r="AD402">
        <f t="shared" si="184"/>
        <v>0</v>
      </c>
      <c r="AE402">
        <f t="shared" si="161"/>
        <v>0</v>
      </c>
    </row>
    <row r="403" spans="1:31" x14ac:dyDescent="0.2">
      <c r="A403" s="373">
        <v>36731</v>
      </c>
      <c r="B403" s="390">
        <f t="shared" si="181"/>
        <v>36.731000000000002</v>
      </c>
      <c r="C403" s="363">
        <f t="shared" si="162"/>
        <v>51.845529739537085</v>
      </c>
      <c r="D403" s="364">
        <f t="shared" si="163"/>
        <v>1.5515070646285738</v>
      </c>
      <c r="E403" s="364">
        <f t="shared" si="164"/>
        <v>1.0376409071396728</v>
      </c>
      <c r="F403" s="365">
        <f t="shared" si="165"/>
        <v>0.27017376099668006</v>
      </c>
      <c r="G403" s="364">
        <f t="shared" si="166"/>
        <v>1.4813306497947225</v>
      </c>
      <c r="H403" s="365">
        <f t="shared" si="167"/>
        <v>-0.82973846796104789</v>
      </c>
      <c r="I403" s="363">
        <f t="shared" si="168"/>
        <v>152367.01131036086</v>
      </c>
      <c r="J403" s="366">
        <f t="shared" si="169"/>
        <v>1.5707897636944499</v>
      </c>
      <c r="K403" s="374">
        <f t="shared" si="159"/>
        <v>47.153604077132179</v>
      </c>
      <c r="L403" s="375">
        <f t="shared" si="160"/>
        <v>1.5495874501264908</v>
      </c>
      <c r="M403" s="363">
        <f t="shared" si="170"/>
        <v>1.7734875099116632</v>
      </c>
      <c r="N403" s="366">
        <f t="shared" si="171"/>
        <v>0.97174317672402455</v>
      </c>
      <c r="O403" s="367">
        <f t="shared" si="172"/>
        <v>1.1663255043461351</v>
      </c>
      <c r="P403" s="368">
        <f t="shared" si="173"/>
        <v>0.67074225601394</v>
      </c>
      <c r="Q403" s="369">
        <f t="shared" si="174"/>
        <v>-17.073677572422891</v>
      </c>
      <c r="R403" s="370">
        <f t="shared" si="175"/>
        <v>-216.27778929957569</v>
      </c>
      <c r="S403" s="372">
        <f t="shared" si="176"/>
        <v>-36.277789299575687</v>
      </c>
      <c r="U403" s="345">
        <f t="shared" si="182"/>
        <v>36731</v>
      </c>
      <c r="V403" s="345">
        <f t="shared" si="183"/>
        <v>1349166361</v>
      </c>
      <c r="X403" s="371">
        <f t="shared" si="177"/>
        <v>12.932590522393744</v>
      </c>
      <c r="Y403" s="372">
        <f t="shared" si="178"/>
        <v>-56.891585945287019</v>
      </c>
      <c r="AA403" s="371">
        <f t="shared" si="179"/>
        <v>27.494957173017369</v>
      </c>
      <c r="AB403" s="372">
        <f t="shared" si="180"/>
        <v>-159.38620335428868</v>
      </c>
      <c r="AD403">
        <f t="shared" si="184"/>
        <v>0</v>
      </c>
      <c r="AE403">
        <f t="shared" si="161"/>
        <v>0</v>
      </c>
    </row>
    <row r="404" spans="1:31" x14ac:dyDescent="0.2">
      <c r="A404" s="373">
        <v>36942.5</v>
      </c>
      <c r="B404" s="390">
        <f t="shared" si="181"/>
        <v>36.942500000000003</v>
      </c>
      <c r="C404" s="363">
        <f t="shared" si="162"/>
        <v>52.143949651524757</v>
      </c>
      <c r="D404" s="364">
        <f t="shared" si="163"/>
        <v>1.5516174706846888</v>
      </c>
      <c r="E404" s="364">
        <f t="shared" si="164"/>
        <v>1.0380676610643549</v>
      </c>
      <c r="F404" s="365">
        <f t="shared" si="165"/>
        <v>0.27165422856461358</v>
      </c>
      <c r="G404" s="364">
        <f t="shared" si="166"/>
        <v>1.4859792417115187</v>
      </c>
      <c r="H404" s="365">
        <f t="shared" si="167"/>
        <v>-0.83259722691795657</v>
      </c>
      <c r="I404" s="363">
        <f t="shared" si="168"/>
        <v>153244.3525994833</v>
      </c>
      <c r="J404" s="366">
        <f t="shared" si="169"/>
        <v>1.5707898012689439</v>
      </c>
      <c r="K404" s="374">
        <f t="shared" si="159"/>
        <v>47.424996491032729</v>
      </c>
      <c r="L404" s="375">
        <f t="shared" si="160"/>
        <v>1.5497088372526084</v>
      </c>
      <c r="M404" s="363">
        <f t="shared" si="170"/>
        <v>1.7804589869928331</v>
      </c>
      <c r="N404" s="366">
        <f t="shared" si="171"/>
        <v>0.97441407770363053</v>
      </c>
      <c r="O404" s="367">
        <f t="shared" si="172"/>
        <v>1.1681454011790109</v>
      </c>
      <c r="P404" s="368">
        <f t="shared" si="173"/>
        <v>0.6740722008789064</v>
      </c>
      <c r="Q404" s="369">
        <f t="shared" si="174"/>
        <v>-17.140385224887616</v>
      </c>
      <c r="R404" s="370">
        <f t="shared" si="175"/>
        <v>-216.69995570388244</v>
      </c>
      <c r="S404" s="372">
        <f t="shared" si="176"/>
        <v>-36.699955703882438</v>
      </c>
      <c r="U404" s="345">
        <f t="shared" si="182"/>
        <v>36942.5</v>
      </c>
      <c r="V404" s="345">
        <f t="shared" si="183"/>
        <v>1364748306.25</v>
      </c>
      <c r="X404" s="371">
        <f t="shared" si="177"/>
        <v>12.898491423503382</v>
      </c>
      <c r="Y404" s="372">
        <f t="shared" si="178"/>
        <v>-57.0376644819289</v>
      </c>
      <c r="AA404" s="371">
        <f t="shared" si="179"/>
        <v>27.462348619442999</v>
      </c>
      <c r="AB404" s="372">
        <f t="shared" si="180"/>
        <v>-159.66229122195355</v>
      </c>
      <c r="AD404">
        <f t="shared" si="184"/>
        <v>0</v>
      </c>
      <c r="AE404">
        <f t="shared" si="161"/>
        <v>0</v>
      </c>
    </row>
    <row r="405" spans="1:31" x14ac:dyDescent="0.2">
      <c r="A405" s="373">
        <v>37154</v>
      </c>
      <c r="B405" s="390">
        <f t="shared" si="181"/>
        <v>37.154000000000003</v>
      </c>
      <c r="C405" s="363">
        <f t="shared" si="162"/>
        <v>52.442370191887171</v>
      </c>
      <c r="D405" s="364">
        <f t="shared" si="163"/>
        <v>1.5517266202224489</v>
      </c>
      <c r="E405" s="364">
        <f t="shared" si="164"/>
        <v>1.0384966883365156</v>
      </c>
      <c r="F405" s="365">
        <f t="shared" si="165"/>
        <v>0.27313347614095168</v>
      </c>
      <c r="G405" s="364">
        <f t="shared" si="166"/>
        <v>1.4906399019964074</v>
      </c>
      <c r="H405" s="365">
        <f t="shared" si="167"/>
        <v>-0.83543813248190402</v>
      </c>
      <c r="I405" s="363">
        <f t="shared" si="168"/>
        <v>154121.69388860598</v>
      </c>
      <c r="J405" s="366">
        <f t="shared" si="169"/>
        <v>1.5707898384156505</v>
      </c>
      <c r="K405" s="374">
        <f t="shared" si="159"/>
        <v>47.696389595780396</v>
      </c>
      <c r="L405" s="375">
        <f t="shared" si="160"/>
        <v>1.5498288429916844</v>
      </c>
      <c r="M405" s="363">
        <f t="shared" si="170"/>
        <v>1.7874430662267244</v>
      </c>
      <c r="N405" s="366">
        <f t="shared" si="171"/>
        <v>0.97706412543351029</v>
      </c>
      <c r="O405" s="367">
        <f t="shared" si="172"/>
        <v>1.1699737491103996</v>
      </c>
      <c r="P405" s="368">
        <f t="shared" si="173"/>
        <v>0.67739481683093383</v>
      </c>
      <c r="Q405" s="369">
        <f t="shared" si="174"/>
        <v>-17.206774974120705</v>
      </c>
      <c r="R405" s="370">
        <f t="shared" si="175"/>
        <v>-217.11956149544912</v>
      </c>
      <c r="S405" s="372">
        <f t="shared" si="176"/>
        <v>-37.119561495449119</v>
      </c>
      <c r="U405" s="345">
        <f t="shared" si="182"/>
        <v>37154</v>
      </c>
      <c r="V405" s="345">
        <f t="shared" si="183"/>
        <v>1380419716</v>
      </c>
      <c r="X405" s="371">
        <f t="shared" si="177"/>
        <v>12.864464634273958</v>
      </c>
      <c r="Y405" s="372">
        <f t="shared" si="178"/>
        <v>-57.182627338507977</v>
      </c>
      <c r="AA405" s="371">
        <f t="shared" si="179"/>
        <v>27.429985659439339</v>
      </c>
      <c r="AB405" s="372">
        <f t="shared" si="180"/>
        <v>-159.93693415694116</v>
      </c>
      <c r="AD405">
        <f t="shared" si="184"/>
        <v>0</v>
      </c>
      <c r="AE405">
        <f t="shared" si="161"/>
        <v>0</v>
      </c>
    </row>
    <row r="406" spans="1:31" x14ac:dyDescent="0.2">
      <c r="A406" s="373">
        <v>37370.25</v>
      </c>
      <c r="B406" s="390">
        <f t="shared" si="181"/>
        <v>37.370249999999999</v>
      </c>
      <c r="C406" s="363">
        <f t="shared" si="162"/>
        <v>52.747493486996504</v>
      </c>
      <c r="D406" s="364">
        <f t="shared" si="163"/>
        <v>1.5518369441569824</v>
      </c>
      <c r="E406" s="364">
        <f t="shared" si="164"/>
        <v>1.0389376985443552</v>
      </c>
      <c r="F406" s="365">
        <f t="shared" si="165"/>
        <v>0.27464467902652001</v>
      </c>
      <c r="G406" s="364">
        <f t="shared" si="166"/>
        <v>1.4954175947482906</v>
      </c>
      <c r="H406" s="365">
        <f t="shared" si="167"/>
        <v>-0.83832450789930779</v>
      </c>
      <c r="I406" s="363">
        <f t="shared" si="168"/>
        <v>155018.7390601087</v>
      </c>
      <c r="J406" s="366">
        <f t="shared" si="169"/>
        <v>1.5707898759618808</v>
      </c>
      <c r="K406" s="374">
        <f t="shared" si="159"/>
        <v>47.973878519619063</v>
      </c>
      <c r="L406" s="375">
        <f t="shared" si="160"/>
        <v>1.5499501400411293</v>
      </c>
      <c r="M406" s="363">
        <f t="shared" si="170"/>
        <v>1.7945968749089962</v>
      </c>
      <c r="N406" s="366">
        <f t="shared" si="171"/>
        <v>0.97975234366541175</v>
      </c>
      <c r="O406" s="367">
        <f t="shared" si="172"/>
        <v>1.1718518712677359</v>
      </c>
      <c r="P406" s="368">
        <f t="shared" si="173"/>
        <v>0.68078447560713606</v>
      </c>
      <c r="Q406" s="369">
        <f t="shared" si="174"/>
        <v>-17.274330449108749</v>
      </c>
      <c r="R406" s="370">
        <f t="shared" si="175"/>
        <v>-217.54596321714479</v>
      </c>
      <c r="S406" s="372">
        <f t="shared" si="176"/>
        <v>-37.545963217144788</v>
      </c>
      <c r="U406" s="345">
        <f t="shared" si="182"/>
        <v>37370.25</v>
      </c>
      <c r="V406" s="345">
        <f t="shared" si="183"/>
        <v>1396535585.0625</v>
      </c>
      <c r="X406" s="371">
        <f t="shared" si="177"/>
        <v>12.829748811639814</v>
      </c>
      <c r="Y406" s="372">
        <f t="shared" si="178"/>
        <v>-57.329703240014055</v>
      </c>
      <c r="AA406" s="371">
        <f t="shared" si="179"/>
        <v>27.397146007085436</v>
      </c>
      <c r="AB406" s="372">
        <f t="shared" si="180"/>
        <v>-160.21625997713073</v>
      </c>
      <c r="AD406">
        <f t="shared" si="184"/>
        <v>0</v>
      </c>
      <c r="AE406">
        <f t="shared" si="161"/>
        <v>0</v>
      </c>
    </row>
    <row r="407" spans="1:31" x14ac:dyDescent="0.2">
      <c r="A407" s="373">
        <v>37586.5</v>
      </c>
      <c r="B407" s="390">
        <f t="shared" si="181"/>
        <v>37.586500000000001</v>
      </c>
      <c r="C407" s="363">
        <f t="shared" si="162"/>
        <v>53.052617416730293</v>
      </c>
      <c r="D407" s="364">
        <f t="shared" si="163"/>
        <v>1.5519459990707132</v>
      </c>
      <c r="E407" s="364">
        <f t="shared" si="164"/>
        <v>1.0393810793931086</v>
      </c>
      <c r="F407" s="365">
        <f t="shared" si="165"/>
        <v>0.27615459605518827</v>
      </c>
      <c r="G407" s="364">
        <f t="shared" si="166"/>
        <v>1.5002076666543673</v>
      </c>
      <c r="H407" s="365">
        <f t="shared" si="167"/>
        <v>-0.84119247504078953</v>
      </c>
      <c r="I407" s="363">
        <f t="shared" si="168"/>
        <v>155915.78423161164</v>
      </c>
      <c r="J407" s="366">
        <f t="shared" si="169"/>
        <v>1.5707899130760743</v>
      </c>
      <c r="K407" s="374">
        <f t="shared" ref="K407:K470" si="185">SQRT(1+(A407/Zero2)^2)</f>
        <v>48.251368141177764</v>
      </c>
      <c r="L407" s="375">
        <f t="shared" ref="L407:L470" si="186">ATAN(A407/Zero2)</f>
        <v>1.5500700419537525</v>
      </c>
      <c r="M407" s="363">
        <f t="shared" si="170"/>
        <v>1.8017635492391617</v>
      </c>
      <c r="N407" s="366">
        <f t="shared" si="171"/>
        <v>0.98241919578899695</v>
      </c>
      <c r="O407" s="367">
        <f t="shared" si="172"/>
        <v>1.173738775895415</v>
      </c>
      <c r="P407" s="368">
        <f t="shared" si="173"/>
        <v>0.6841664710906169</v>
      </c>
      <c r="Q407" s="369">
        <f t="shared" si="174"/>
        <v>-17.341560419801581</v>
      </c>
      <c r="R407" s="370">
        <f t="shared" si="175"/>
        <v>-217.9697278354929</v>
      </c>
      <c r="S407" s="372">
        <f t="shared" si="176"/>
        <v>-37.969727835492904</v>
      </c>
      <c r="U407" s="345">
        <f t="shared" si="182"/>
        <v>37586.5</v>
      </c>
      <c r="V407" s="345">
        <f t="shared" si="183"/>
        <v>1412744982.25</v>
      </c>
      <c r="X407" s="371">
        <f t="shared" si="177"/>
        <v>12.795109370744155</v>
      </c>
      <c r="Y407" s="372">
        <f t="shared" si="178"/>
        <v>-57.475634864385547</v>
      </c>
      <c r="AA407" s="371">
        <f t="shared" si="179"/>
        <v>27.364555477288267</v>
      </c>
      <c r="AB407" s="372">
        <f t="shared" si="180"/>
        <v>-160.49409297110739</v>
      </c>
      <c r="AD407">
        <f t="shared" si="184"/>
        <v>0</v>
      </c>
      <c r="AE407">
        <f t="shared" si="161"/>
        <v>0</v>
      </c>
    </row>
    <row r="408" spans="1:31" x14ac:dyDescent="0.2">
      <c r="A408" s="373">
        <v>37802.75</v>
      </c>
      <c r="B408" s="390">
        <f t="shared" si="181"/>
        <v>37.802750000000003</v>
      </c>
      <c r="C408" s="363">
        <f t="shared" si="162"/>
        <v>53.357741970201332</v>
      </c>
      <c r="D408" s="364">
        <f t="shared" si="163"/>
        <v>1.5520538067315901</v>
      </c>
      <c r="E408" s="364">
        <f t="shared" si="164"/>
        <v>1.0398268278502605</v>
      </c>
      <c r="F408" s="365">
        <f t="shared" si="165"/>
        <v>0.27766322199147198</v>
      </c>
      <c r="G408" s="364">
        <f t="shared" si="166"/>
        <v>1.5050099995153501</v>
      </c>
      <c r="H408" s="365">
        <f t="shared" si="167"/>
        <v>-0.84404216271808408</v>
      </c>
      <c r="I408" s="363">
        <f t="shared" si="168"/>
        <v>156812.82940311483</v>
      </c>
      <c r="J408" s="366">
        <f t="shared" si="169"/>
        <v>1.5707899497656459</v>
      </c>
      <c r="K408" s="374">
        <f t="shared" si="185"/>
        <v>48.528858448487711</v>
      </c>
      <c r="L408" s="375">
        <f t="shared" si="186"/>
        <v>1.5501885726584517</v>
      </c>
      <c r="M408" s="363">
        <f t="shared" si="170"/>
        <v>1.8089429363037663</v>
      </c>
      <c r="N408" s="366">
        <f t="shared" si="171"/>
        <v>0.98506489803927644</v>
      </c>
      <c r="O408" s="367">
        <f t="shared" si="172"/>
        <v>1.1756344365515277</v>
      </c>
      <c r="P408" s="368">
        <f t="shared" si="173"/>
        <v>0.68754080308918464</v>
      </c>
      <c r="Q408" s="369">
        <f t="shared" si="174"/>
        <v>-17.408468262542048</v>
      </c>
      <c r="R408" s="370">
        <f t="shared" si="175"/>
        <v>-218.39087528578676</v>
      </c>
      <c r="S408" s="372">
        <f t="shared" si="176"/>
        <v>-38.390875285786763</v>
      </c>
      <c r="U408" s="345">
        <f t="shared" si="182"/>
        <v>37802.75</v>
      </c>
      <c r="V408" s="345">
        <f t="shared" si="183"/>
        <v>1429047907.5625</v>
      </c>
      <c r="X408" s="371">
        <f t="shared" si="177"/>
        <v>12.760546680463223</v>
      </c>
      <c r="Y408" s="372">
        <f t="shared" si="178"/>
        <v>-57.620433230375902</v>
      </c>
      <c r="AA408" s="371">
        <f t="shared" si="179"/>
        <v>27.332210324828733</v>
      </c>
      <c r="AB408" s="372">
        <f t="shared" si="180"/>
        <v>-160.77044205541083</v>
      </c>
      <c r="AD408">
        <f t="shared" si="184"/>
        <v>0</v>
      </c>
      <c r="AE408">
        <f t="shared" si="161"/>
        <v>0</v>
      </c>
    </row>
    <row r="409" spans="1:31" x14ac:dyDescent="0.2">
      <c r="A409" s="373">
        <v>38019</v>
      </c>
      <c r="B409" s="390">
        <f t="shared" si="181"/>
        <v>38.018999999999998</v>
      </c>
      <c r="C409" s="363">
        <f t="shared" si="162"/>
        <v>53.662867136769997</v>
      </c>
      <c r="D409" s="364">
        <f t="shared" si="163"/>
        <v>1.5521603884125923</v>
      </c>
      <c r="E409" s="364">
        <f t="shared" si="164"/>
        <v>1.0402749408723142</v>
      </c>
      <c r="F409" s="365">
        <f t="shared" si="165"/>
        <v>0.27917055163234411</v>
      </c>
      <c r="G409" s="364">
        <f t="shared" si="166"/>
        <v>1.509824476335154</v>
      </c>
      <c r="H409" s="365">
        <f t="shared" si="167"/>
        <v>-0.84687369929374567</v>
      </c>
      <c r="I409" s="363">
        <f t="shared" si="168"/>
        <v>157709.87457461815</v>
      </c>
      <c r="J409" s="366">
        <f t="shared" si="169"/>
        <v>1.5707899860378407</v>
      </c>
      <c r="K409" s="374">
        <f t="shared" si="185"/>
        <v>48.806349429852318</v>
      </c>
      <c r="L409" s="375">
        <f t="shared" si="186"/>
        <v>1.5503057555400845</v>
      </c>
      <c r="M409" s="363">
        <f t="shared" si="170"/>
        <v>1.8161348853381751</v>
      </c>
      <c r="N409" s="366">
        <f t="shared" si="171"/>
        <v>0.98768966441952277</v>
      </c>
      <c r="O409" s="367">
        <f t="shared" si="172"/>
        <v>1.1775388268599971</v>
      </c>
      <c r="P409" s="368">
        <f t="shared" si="173"/>
        <v>0.69090747178148126</v>
      </c>
      <c r="Q409" s="369">
        <f t="shared" si="174"/>
        <v>-17.475057300714973</v>
      </c>
      <c r="R409" s="370">
        <f t="shared" si="175"/>
        <v>-218.80942537190353</v>
      </c>
      <c r="S409" s="372">
        <f t="shared" si="176"/>
        <v>-38.809425371903529</v>
      </c>
      <c r="U409" s="345">
        <f t="shared" si="182"/>
        <v>38019</v>
      </c>
      <c r="V409" s="345">
        <f t="shared" si="183"/>
        <v>1445444361</v>
      </c>
      <c r="X409" s="371">
        <f t="shared" si="177"/>
        <v>12.726061090634831</v>
      </c>
      <c r="Y409" s="372">
        <f t="shared" si="178"/>
        <v>-57.76410926003097</v>
      </c>
      <c r="AA409" s="371">
        <f t="shared" si="179"/>
        <v>27.3001068764842</v>
      </c>
      <c r="AB409" s="372">
        <f t="shared" si="180"/>
        <v>-161.04531611187258</v>
      </c>
      <c r="AD409">
        <f t="shared" si="184"/>
        <v>0</v>
      </c>
      <c r="AE409">
        <f t="shared" si="161"/>
        <v>0</v>
      </c>
    </row>
    <row r="410" spans="1:31" x14ac:dyDescent="0.2">
      <c r="A410" s="373">
        <v>38240.5</v>
      </c>
      <c r="B410" s="390">
        <f t="shared" si="181"/>
        <v>38.240499999999997</v>
      </c>
      <c r="C410" s="363">
        <f t="shared" si="162"/>
        <v>53.975400591080501</v>
      </c>
      <c r="D410" s="364">
        <f t="shared" si="163"/>
        <v>1.5522683083658011</v>
      </c>
      <c r="E410" s="364">
        <f t="shared" si="164"/>
        <v>1.0407363811167913</v>
      </c>
      <c r="F410" s="365">
        <f t="shared" si="165"/>
        <v>0.28071312611615118</v>
      </c>
      <c r="G410" s="364">
        <f t="shared" si="166"/>
        <v>1.5147683051637397</v>
      </c>
      <c r="H410" s="365">
        <f t="shared" si="167"/>
        <v>-0.84975529459327581</v>
      </c>
      <c r="I410" s="363">
        <f t="shared" si="168"/>
        <v>158628.69772138368</v>
      </c>
      <c r="J410" s="366">
        <f t="shared" si="169"/>
        <v>1.5707900227653335</v>
      </c>
      <c r="K410" s="374">
        <f t="shared" si="185"/>
        <v>49.090577873340784</v>
      </c>
      <c r="L410" s="375">
        <f t="shared" si="186"/>
        <v>1.5504244099049429</v>
      </c>
      <c r="M410" s="363">
        <f t="shared" si="170"/>
        <v>1.8235143043957998</v>
      </c>
      <c r="N410" s="366">
        <f t="shared" si="171"/>
        <v>0.99035667032875874</v>
      </c>
      <c r="O410" s="367">
        <f t="shared" si="172"/>
        <v>1.1794984735522962</v>
      </c>
      <c r="P410" s="368">
        <f t="shared" si="173"/>
        <v>0.69434793056587718</v>
      </c>
      <c r="Q410" s="369">
        <f t="shared" si="174"/>
        <v>-17.542935861931465</v>
      </c>
      <c r="R410" s="370">
        <f t="shared" si="175"/>
        <v>-219.23546463212898</v>
      </c>
      <c r="S410" s="372">
        <f t="shared" si="176"/>
        <v>-39.235464632128981</v>
      </c>
      <c r="U410" s="345">
        <f t="shared" si="182"/>
        <v>38240.5</v>
      </c>
      <c r="V410" s="345">
        <f t="shared" si="183"/>
        <v>1462335840.25</v>
      </c>
      <c r="X410" s="371">
        <f t="shared" si="177"/>
        <v>12.690818555397589</v>
      </c>
      <c r="Y410" s="372">
        <f t="shared" si="178"/>
        <v>-57.910121152736608</v>
      </c>
      <c r="AA410" s="371">
        <f t="shared" si="179"/>
        <v>27.267470850504949</v>
      </c>
      <c r="AB410" s="372">
        <f t="shared" si="180"/>
        <v>-161.32534347939236</v>
      </c>
      <c r="AD410">
        <f t="shared" si="184"/>
        <v>0</v>
      </c>
      <c r="AE410">
        <f t="shared" ref="AE410:AE473" si="187">IF(AD410&gt;0,S410,0)</f>
        <v>0</v>
      </c>
    </row>
    <row r="411" spans="1:31" x14ac:dyDescent="0.2">
      <c r="A411" s="373">
        <v>38462</v>
      </c>
      <c r="B411" s="390">
        <f t="shared" si="181"/>
        <v>38.462000000000003</v>
      </c>
      <c r="C411" s="363">
        <f t="shared" si="162"/>
        <v>54.287934666789113</v>
      </c>
      <c r="D411" s="364">
        <f t="shared" si="163"/>
        <v>1.552374985736118</v>
      </c>
      <c r="E411" s="364">
        <f t="shared" si="164"/>
        <v>1.041200295632509</v>
      </c>
      <c r="F411" s="365">
        <f t="shared" si="165"/>
        <v>0.28225432965358199</v>
      </c>
      <c r="G411" s="364">
        <f t="shared" si="166"/>
        <v>1.519724630113503</v>
      </c>
      <c r="H411" s="365">
        <f t="shared" si="167"/>
        <v>-0.85261811786383446</v>
      </c>
      <c r="I411" s="363">
        <f t="shared" si="168"/>
        <v>159547.52086814938</v>
      </c>
      <c r="J411" s="366">
        <f t="shared" si="169"/>
        <v>1.5707900590698041</v>
      </c>
      <c r="K411" s="374">
        <f t="shared" si="185"/>
        <v>49.374807000011387</v>
      </c>
      <c r="L411" s="375">
        <f t="shared" si="186"/>
        <v>1.5505416981890741</v>
      </c>
      <c r="M411" s="363">
        <f t="shared" si="170"/>
        <v>1.8309065893575802</v>
      </c>
      <c r="N411" s="366">
        <f t="shared" si="171"/>
        <v>0.99300215885725074</v>
      </c>
      <c r="O411" s="367">
        <f t="shared" si="172"/>
        <v>1.1814672231110772</v>
      </c>
      <c r="P411" s="368">
        <f t="shared" si="173"/>
        <v>0.69778035098867885</v>
      </c>
      <c r="Q411" s="369">
        <f t="shared" si="174"/>
        <v>-17.610486843520363</v>
      </c>
      <c r="R411" s="370">
        <f t="shared" si="175"/>
        <v>-219.65882051613065</v>
      </c>
      <c r="S411" s="372">
        <f t="shared" si="176"/>
        <v>-39.658820516130646</v>
      </c>
      <c r="U411" s="345">
        <f t="shared" si="182"/>
        <v>38462</v>
      </c>
      <c r="V411" s="345">
        <f t="shared" si="183"/>
        <v>1479325444</v>
      </c>
      <c r="X411" s="371">
        <f t="shared" si="177"/>
        <v>12.655657593554164</v>
      </c>
      <c r="Y411" s="372">
        <f t="shared" si="178"/>
        <v>-58.054978436760898</v>
      </c>
      <c r="AA411" s="371">
        <f t="shared" si="179"/>
        <v>27.235080830759479</v>
      </c>
      <c r="AB411" s="372">
        <f t="shared" si="180"/>
        <v>-161.6038420793698</v>
      </c>
      <c r="AD411">
        <f t="shared" si="184"/>
        <v>0</v>
      </c>
      <c r="AE411">
        <f t="shared" si="187"/>
        <v>0</v>
      </c>
    </row>
    <row r="412" spans="1:31" x14ac:dyDescent="0.2">
      <c r="A412" s="373">
        <v>38683.5</v>
      </c>
      <c r="B412" s="390">
        <f t="shared" si="181"/>
        <v>38.683500000000002</v>
      </c>
      <c r="C412" s="363">
        <f t="shared" si="162"/>
        <v>54.600469353225158</v>
      </c>
      <c r="D412" s="364">
        <f t="shared" si="163"/>
        <v>1.5524804418588365</v>
      </c>
      <c r="E412" s="364">
        <f t="shared" si="164"/>
        <v>1.0416666811136579</v>
      </c>
      <c r="F412" s="365">
        <f t="shared" si="165"/>
        <v>0.28379415675956327</v>
      </c>
      <c r="G412" s="364">
        <f t="shared" si="166"/>
        <v>1.5246933293209193</v>
      </c>
      <c r="H412" s="365">
        <f t="shared" si="167"/>
        <v>-0.85546230547406787</v>
      </c>
      <c r="I412" s="363">
        <f t="shared" si="168"/>
        <v>160466.34401491529</v>
      </c>
      <c r="J412" s="366">
        <f t="shared" si="169"/>
        <v>1.570790094958519</v>
      </c>
      <c r="K412" s="374">
        <f t="shared" si="185"/>
        <v>49.6590367981333</v>
      </c>
      <c r="L412" s="375">
        <f t="shared" si="186"/>
        <v>1.5506576438460322</v>
      </c>
      <c r="M412" s="363">
        <f t="shared" si="170"/>
        <v>1.8383115850130074</v>
      </c>
      <c r="N412" s="366">
        <f t="shared" si="171"/>
        <v>0.99562635277678324</v>
      </c>
      <c r="O412" s="367">
        <f t="shared" si="172"/>
        <v>1.1834450474163081</v>
      </c>
      <c r="P412" s="368">
        <f t="shared" si="173"/>
        <v>0.70120473442241171</v>
      </c>
      <c r="Q412" s="369">
        <f t="shared" si="174"/>
        <v>-17.677713650978397</v>
      </c>
      <c r="R412" s="370">
        <f t="shared" si="175"/>
        <v>-220.07951387310001</v>
      </c>
      <c r="S412" s="372">
        <f t="shared" si="176"/>
        <v>-40.079513873100012</v>
      </c>
      <c r="U412" s="345">
        <f t="shared" si="182"/>
        <v>38683.5</v>
      </c>
      <c r="V412" s="345">
        <f t="shared" si="183"/>
        <v>1496413172.25</v>
      </c>
      <c r="X412" s="371">
        <f t="shared" si="177"/>
        <v>12.620578522163408</v>
      </c>
      <c r="Y412" s="372">
        <f t="shared" si="178"/>
        <v>-58.198692532613549</v>
      </c>
      <c r="AA412" s="371">
        <f t="shared" si="179"/>
        <v>27.202933094692195</v>
      </c>
      <c r="AB412" s="372">
        <f t="shared" si="180"/>
        <v>-161.88082134048648</v>
      </c>
      <c r="AD412">
        <f t="shared" si="184"/>
        <v>0</v>
      </c>
      <c r="AE412">
        <f t="shared" si="187"/>
        <v>0</v>
      </c>
    </row>
    <row r="413" spans="1:31" x14ac:dyDescent="0.2">
      <c r="A413" s="373">
        <v>38905</v>
      </c>
      <c r="B413" s="390">
        <f t="shared" si="181"/>
        <v>38.905000000000001</v>
      </c>
      <c r="C413" s="363">
        <f t="shared" si="162"/>
        <v>54.913004639960853</v>
      </c>
      <c r="D413" s="364">
        <f t="shared" si="163"/>
        <v>1.5525846975836446</v>
      </c>
      <c r="E413" s="364">
        <f t="shared" si="164"/>
        <v>1.0421355342427552</v>
      </c>
      <c r="F413" s="365">
        <f t="shared" si="165"/>
        <v>0.28533260198492355</v>
      </c>
      <c r="G413" s="364">
        <f t="shared" si="166"/>
        <v>1.5296742822035296</v>
      </c>
      <c r="H413" s="365">
        <f t="shared" si="167"/>
        <v>-0.85828799322907467</v>
      </c>
      <c r="I413" s="363">
        <f t="shared" si="168"/>
        <v>161385.1671616814</v>
      </c>
      <c r="J413" s="366">
        <f t="shared" si="169"/>
        <v>1.5707901304385796</v>
      </c>
      <c r="K413" s="374">
        <f t="shared" si="185"/>
        <v>49.943267256242748</v>
      </c>
      <c r="L413" s="375">
        <f t="shared" si="186"/>
        <v>1.550772269795615</v>
      </c>
      <c r="M413" s="363">
        <f t="shared" si="170"/>
        <v>1.8457291383776178</v>
      </c>
      <c r="N413" s="366">
        <f t="shared" si="171"/>
        <v>0.99822947246043969</v>
      </c>
      <c r="O413" s="367">
        <f t="shared" si="172"/>
        <v>1.1854319184265916</v>
      </c>
      <c r="P413" s="368">
        <f t="shared" si="173"/>
        <v>0.70462108262788048</v>
      </c>
      <c r="Q413" s="369">
        <f t="shared" si="174"/>
        <v>-17.744619636100058</v>
      </c>
      <c r="R413" s="370">
        <f t="shared" si="175"/>
        <v>-220.49756540544311</v>
      </c>
      <c r="S413" s="372">
        <f t="shared" si="176"/>
        <v>-40.497565405443112</v>
      </c>
      <c r="U413" s="345">
        <f t="shared" si="182"/>
        <v>38905</v>
      </c>
      <c r="V413" s="345">
        <f t="shared" si="183"/>
        <v>1513599025</v>
      </c>
      <c r="X413" s="371">
        <f t="shared" si="177"/>
        <v>12.585581639477827</v>
      </c>
      <c r="Y413" s="372">
        <f t="shared" si="178"/>
        <v>-58.341274753941377</v>
      </c>
      <c r="AA413" s="371">
        <f t="shared" si="179"/>
        <v>27.171023992256114</v>
      </c>
      <c r="AB413" s="372">
        <f t="shared" si="180"/>
        <v>-162.15629065150176</v>
      </c>
      <c r="AD413">
        <f t="shared" si="184"/>
        <v>0</v>
      </c>
      <c r="AE413">
        <f t="shared" si="187"/>
        <v>0</v>
      </c>
    </row>
    <row r="414" spans="1:31" x14ac:dyDescent="0.2">
      <c r="A414" s="373">
        <v>39131.5</v>
      </c>
      <c r="B414" s="390">
        <f t="shared" si="181"/>
        <v>39.131500000000003</v>
      </c>
      <c r="C414" s="363">
        <f t="shared" si="162"/>
        <v>55.232595509470471</v>
      </c>
      <c r="D414" s="364">
        <f t="shared" si="163"/>
        <v>1.5526900865903999</v>
      </c>
      <c r="E414" s="364">
        <f t="shared" si="164"/>
        <v>1.0426175193266591</v>
      </c>
      <c r="F414" s="365">
        <f t="shared" si="165"/>
        <v>0.28690434043042873</v>
      </c>
      <c r="G414" s="364">
        <f t="shared" si="166"/>
        <v>1.5347802193492042</v>
      </c>
      <c r="H414" s="365">
        <f t="shared" si="167"/>
        <v>-0.86115847617406771</v>
      </c>
      <c r="I414" s="363">
        <f t="shared" si="168"/>
        <v>162324.73123726866</v>
      </c>
      <c r="J414" s="366">
        <f t="shared" si="169"/>
        <v>1.5707901663041792</v>
      </c>
      <c r="K414" s="374">
        <f t="shared" si="185"/>
        <v>50.233914422611925</v>
      </c>
      <c r="L414" s="375">
        <f t="shared" si="186"/>
        <v>1.5508881418461309</v>
      </c>
      <c r="M414" s="363">
        <f t="shared" si="170"/>
        <v>1.8533269598859836</v>
      </c>
      <c r="N414" s="366">
        <f t="shared" si="171"/>
        <v>1.0008697872403245</v>
      </c>
      <c r="O414" s="367">
        <f t="shared" si="172"/>
        <v>1.1874729659978145</v>
      </c>
      <c r="P414" s="368">
        <f t="shared" si="173"/>
        <v>0.70810624219046725</v>
      </c>
      <c r="Q414" s="369">
        <f t="shared" si="174"/>
        <v>-17.812707584302487</v>
      </c>
      <c r="R414" s="370">
        <f t="shared" si="175"/>
        <v>-220.92234323253783</v>
      </c>
      <c r="S414" s="372">
        <f t="shared" si="176"/>
        <v>-40.922343232537827</v>
      </c>
      <c r="U414" s="345">
        <f t="shared" si="182"/>
        <v>39131.5</v>
      </c>
      <c r="V414" s="345">
        <f t="shared" si="183"/>
        <v>1531274292.25</v>
      </c>
      <c r="X414" s="371">
        <f t="shared" si="177"/>
        <v>12.549880043582103</v>
      </c>
      <c r="Y414" s="372">
        <f t="shared" si="178"/>
        <v>-58.485916723069458</v>
      </c>
      <c r="AA414" s="371">
        <f t="shared" si="179"/>
        <v>27.138637639949408</v>
      </c>
      <c r="AB414" s="372">
        <f t="shared" si="180"/>
        <v>-162.43642650946836</v>
      </c>
      <c r="AD414">
        <f t="shared" si="184"/>
        <v>0</v>
      </c>
      <c r="AE414">
        <f t="shared" si="187"/>
        <v>0</v>
      </c>
    </row>
    <row r="415" spans="1:31" x14ac:dyDescent="0.2">
      <c r="A415" s="373">
        <v>39358</v>
      </c>
      <c r="B415" s="390">
        <f t="shared" si="181"/>
        <v>39.357999999999997</v>
      </c>
      <c r="C415" s="363">
        <f t="shared" si="162"/>
        <v>55.55218698538139</v>
      </c>
      <c r="D415" s="364">
        <f t="shared" si="163"/>
        <v>1.55279426299336</v>
      </c>
      <c r="E415" s="364">
        <f t="shared" si="164"/>
        <v>1.0431020776690352</v>
      </c>
      <c r="F415" s="365">
        <f t="shared" si="165"/>
        <v>0.28847462249429673</v>
      </c>
      <c r="G415" s="364">
        <f t="shared" si="166"/>
        <v>1.5398987186576307</v>
      </c>
      <c r="H415" s="365">
        <f t="shared" si="167"/>
        <v>-0.86400989997580901</v>
      </c>
      <c r="I415" s="363">
        <f t="shared" si="168"/>
        <v>163264.29531285609</v>
      </c>
      <c r="J415" s="366">
        <f t="shared" si="169"/>
        <v>1.5707902017569753</v>
      </c>
      <c r="K415" s="374">
        <f t="shared" si="185"/>
        <v>50.524562255678553</v>
      </c>
      <c r="L415" s="375">
        <f t="shared" si="186"/>
        <v>1.5510026807659707</v>
      </c>
      <c r="M415" s="363">
        <f t="shared" si="170"/>
        <v>1.860937595870541</v>
      </c>
      <c r="N415" s="366">
        <f t="shared" si="171"/>
        <v>1.0034885240761895</v>
      </c>
      <c r="O415" s="367">
        <f t="shared" si="172"/>
        <v>1.1895234142658009</v>
      </c>
      <c r="P415" s="368">
        <f t="shared" si="173"/>
        <v>0.71158300461112289</v>
      </c>
      <c r="Q415" s="369">
        <f t="shared" si="174"/>
        <v>-17.880466984157536</v>
      </c>
      <c r="R415" s="370">
        <f t="shared" si="175"/>
        <v>-221.34440193179535</v>
      </c>
      <c r="S415" s="372">
        <f t="shared" si="176"/>
        <v>-41.344401931795346</v>
      </c>
      <c r="U415" s="345">
        <f t="shared" si="182"/>
        <v>39358</v>
      </c>
      <c r="V415" s="345">
        <f t="shared" si="183"/>
        <v>1549052164</v>
      </c>
      <c r="X415" s="371">
        <f t="shared" si="177"/>
        <v>12.514264961609483</v>
      </c>
      <c r="Y415" s="372">
        <f t="shared" si="178"/>
        <v>-58.629398726182693</v>
      </c>
      <c r="AA415" s="371">
        <f t="shared" si="179"/>
        <v>27.106493322066981</v>
      </c>
      <c r="AB415" s="372">
        <f t="shared" si="180"/>
        <v>-162.71500320561265</v>
      </c>
      <c r="AD415">
        <f t="shared" si="184"/>
        <v>0</v>
      </c>
      <c r="AE415">
        <f t="shared" si="187"/>
        <v>0</v>
      </c>
    </row>
    <row r="416" spans="1:31" x14ac:dyDescent="0.2">
      <c r="A416" s="373">
        <v>39584.5</v>
      </c>
      <c r="B416" s="390">
        <f t="shared" si="181"/>
        <v>39.584499999999998</v>
      </c>
      <c r="C416" s="363">
        <f t="shared" si="162"/>
        <v>55.871779057287604</v>
      </c>
      <c r="D416" s="364">
        <f t="shared" si="163"/>
        <v>1.5528972475988834</v>
      </c>
      <c r="E416" s="364">
        <f t="shared" si="164"/>
        <v>1.0435892056854443</v>
      </c>
      <c r="F416" s="365">
        <f t="shared" si="165"/>
        <v>0.29004344246665886</v>
      </c>
      <c r="G416" s="364">
        <f t="shared" si="166"/>
        <v>1.5450296552779659</v>
      </c>
      <c r="H416" s="365">
        <f t="shared" si="167"/>
        <v>-0.86684240791798561</v>
      </c>
      <c r="I416" s="363">
        <f t="shared" si="168"/>
        <v>164203.85938844373</v>
      </c>
      <c r="J416" s="366">
        <f t="shared" si="169"/>
        <v>1.5707902368040541</v>
      </c>
      <c r="K416" s="374">
        <f t="shared" si="185"/>
        <v>50.815210744002719</v>
      </c>
      <c r="L416" s="375">
        <f t="shared" si="186"/>
        <v>1.5511159094274829</v>
      </c>
      <c r="M416" s="363">
        <f t="shared" si="170"/>
        <v>1.8685608897514689</v>
      </c>
      <c r="N416" s="366">
        <f t="shared" si="171"/>
        <v>1.0060859109289768</v>
      </c>
      <c r="O416" s="367">
        <f t="shared" si="172"/>
        <v>1.1915832335116758</v>
      </c>
      <c r="P416" s="368">
        <f t="shared" si="173"/>
        <v>0.71505137299938115</v>
      </c>
      <c r="Q416" s="369">
        <f t="shared" si="174"/>
        <v>-17.947901252387648</v>
      </c>
      <c r="R416" s="370">
        <f t="shared" si="175"/>
        <v>-221.76376316131405</v>
      </c>
      <c r="S416" s="372">
        <f t="shared" si="176"/>
        <v>-41.763763161314046</v>
      </c>
      <c r="U416" s="345">
        <f t="shared" si="182"/>
        <v>39584.5</v>
      </c>
      <c r="V416" s="345">
        <f t="shared" si="183"/>
        <v>1566932640.25</v>
      </c>
      <c r="X416" s="371">
        <f t="shared" si="177"/>
        <v>12.478736654770319</v>
      </c>
      <c r="Y416" s="372">
        <f t="shared" si="178"/>
        <v>-58.771732514397932</v>
      </c>
      <c r="AA416" s="371">
        <f t="shared" si="179"/>
        <v>27.074587360676034</v>
      </c>
      <c r="AB416" s="372">
        <f t="shared" si="180"/>
        <v>-162.99203064691608</v>
      </c>
      <c r="AD416">
        <f t="shared" si="184"/>
        <v>0</v>
      </c>
      <c r="AE416">
        <f t="shared" si="187"/>
        <v>0</v>
      </c>
    </row>
    <row r="417" spans="1:31" x14ac:dyDescent="0.2">
      <c r="A417" s="373">
        <v>39811</v>
      </c>
      <c r="B417" s="390">
        <f t="shared" si="181"/>
        <v>39.811</v>
      </c>
      <c r="C417" s="363">
        <f t="shared" si="162"/>
        <v>56.191371715019827</v>
      </c>
      <c r="D417" s="364">
        <f t="shared" si="163"/>
        <v>1.5529990607400792</v>
      </c>
      <c r="E417" s="364">
        <f t="shared" si="164"/>
        <v>1.0440788997791464</v>
      </c>
      <c r="F417" s="365">
        <f t="shared" si="165"/>
        <v>0.29161079467706208</v>
      </c>
      <c r="G417" s="364">
        <f t="shared" si="166"/>
        <v>1.550172905710973</v>
      </c>
      <c r="H417" s="365">
        <f t="shared" si="167"/>
        <v>-0.86965614260372248</v>
      </c>
      <c r="I417" s="363">
        <f t="shared" si="168"/>
        <v>165143.42346403157</v>
      </c>
      <c r="J417" s="366">
        <f t="shared" si="169"/>
        <v>1.5707902714523403</v>
      </c>
      <c r="K417" s="374">
        <f t="shared" si="185"/>
        <v>51.105859876404686</v>
      </c>
      <c r="L417" s="375">
        <f t="shared" si="186"/>
        <v>1.551227850182834</v>
      </c>
      <c r="M417" s="363">
        <f t="shared" si="170"/>
        <v>1.8761966872354672</v>
      </c>
      <c r="N417" s="366">
        <f t="shared" si="171"/>
        <v>1.0086621732101184</v>
      </c>
      <c r="O417" s="367">
        <f t="shared" si="172"/>
        <v>1.1936523941089048</v>
      </c>
      <c r="P417" s="368">
        <f t="shared" si="173"/>
        <v>0.71851135086721041</v>
      </c>
      <c r="Q417" s="369">
        <f t="shared" si="174"/>
        <v>-18.015013751617754</v>
      </c>
      <c r="R417" s="370">
        <f t="shared" si="175"/>
        <v>-222.18044841760226</v>
      </c>
      <c r="S417" s="372">
        <f t="shared" si="176"/>
        <v>-42.180448417602264</v>
      </c>
      <c r="U417" s="345">
        <f t="shared" si="182"/>
        <v>39811</v>
      </c>
      <c r="V417" s="345">
        <f t="shared" si="183"/>
        <v>1584915721</v>
      </c>
      <c r="X417" s="371">
        <f t="shared" si="177"/>
        <v>12.443295365902928</v>
      </c>
      <c r="Y417" s="372">
        <f t="shared" si="178"/>
        <v>-58.912929722550892</v>
      </c>
      <c r="AA417" s="371">
        <f t="shared" si="179"/>
        <v>27.042916150313321</v>
      </c>
      <c r="AB417" s="372">
        <f t="shared" si="180"/>
        <v>-163.26751869505136</v>
      </c>
      <c r="AD417">
        <f t="shared" si="184"/>
        <v>0</v>
      </c>
      <c r="AE417">
        <f t="shared" si="187"/>
        <v>0</v>
      </c>
    </row>
    <row r="418" spans="1:31" x14ac:dyDescent="0.2">
      <c r="A418" s="373">
        <v>40042.75</v>
      </c>
      <c r="B418" s="390">
        <f t="shared" si="181"/>
        <v>40.042749999999998</v>
      </c>
      <c r="C418" s="363">
        <f t="shared" si="162"/>
        <v>56.518372745572783</v>
      </c>
      <c r="D418" s="364">
        <f t="shared" si="163"/>
        <v>1.5531020420055293</v>
      </c>
      <c r="E418" s="364">
        <f t="shared" si="164"/>
        <v>1.044582596618429</v>
      </c>
      <c r="F418" s="365">
        <f t="shared" si="165"/>
        <v>0.29321295118254764</v>
      </c>
      <c r="G418" s="364">
        <f t="shared" si="166"/>
        <v>1.555447988398676</v>
      </c>
      <c r="H418" s="365">
        <f t="shared" si="167"/>
        <v>-0.8725158133041081</v>
      </c>
      <c r="I418" s="363">
        <f t="shared" si="168"/>
        <v>166104.76551488158</v>
      </c>
      <c r="J418" s="366">
        <f t="shared" si="169"/>
        <v>1.5707903064980262</v>
      </c>
      <c r="K418" s="374">
        <f t="shared" si="185"/>
        <v>51.403246564475253</v>
      </c>
      <c r="L418" s="375">
        <f t="shared" si="186"/>
        <v>1.5513410753449781</v>
      </c>
      <c r="M418" s="363">
        <f t="shared" si="170"/>
        <v>1.8840222565203961</v>
      </c>
      <c r="N418" s="366">
        <f t="shared" si="171"/>
        <v>1.0112765179277752</v>
      </c>
      <c r="O418" s="367">
        <f t="shared" si="172"/>
        <v>1.1957791532220203</v>
      </c>
      <c r="P418" s="368">
        <f t="shared" si="173"/>
        <v>0.72204284647921801</v>
      </c>
      <c r="Q418" s="369">
        <f t="shared" si="174"/>
        <v>-18.083352247541033</v>
      </c>
      <c r="R418" s="370">
        <f t="shared" si="175"/>
        <v>-222.60404446250647</v>
      </c>
      <c r="S418" s="372">
        <f t="shared" si="176"/>
        <v>-42.604044462506465</v>
      </c>
      <c r="U418" s="345">
        <f t="shared" si="182"/>
        <v>40042.75</v>
      </c>
      <c r="V418" s="345">
        <f t="shared" si="183"/>
        <v>1603421827.5625</v>
      </c>
      <c r="X418" s="371">
        <f t="shared" si="177"/>
        <v>12.407122891578391</v>
      </c>
      <c r="Y418" s="372">
        <f t="shared" si="178"/>
        <v>-59.056235325273057</v>
      </c>
      <c r="AA418" s="371">
        <f t="shared" si="179"/>
        <v>27.01075012871458</v>
      </c>
      <c r="AB418" s="372">
        <f t="shared" si="180"/>
        <v>-163.5478091372334</v>
      </c>
      <c r="AD418">
        <f t="shared" si="184"/>
        <v>0</v>
      </c>
      <c r="AE418">
        <f t="shared" si="187"/>
        <v>0</v>
      </c>
    </row>
    <row r="419" spans="1:31" x14ac:dyDescent="0.2">
      <c r="A419" s="373">
        <v>40274.5</v>
      </c>
      <c r="B419" s="390">
        <f t="shared" si="181"/>
        <v>40.274500000000003</v>
      </c>
      <c r="C419" s="363">
        <f t="shared" si="162"/>
        <v>56.845374368615154</v>
      </c>
      <c r="D419" s="364">
        <f t="shared" si="163"/>
        <v>1.5532038384776368</v>
      </c>
      <c r="E419" s="364">
        <f t="shared" si="164"/>
        <v>1.0450889722138468</v>
      </c>
      <c r="F419" s="365">
        <f t="shared" si="165"/>
        <v>0.29481355921173324</v>
      </c>
      <c r="G419" s="364">
        <f t="shared" si="166"/>
        <v>1.5607357050546791</v>
      </c>
      <c r="H419" s="365">
        <f t="shared" si="167"/>
        <v>-0.87535613017718983</v>
      </c>
      <c r="I419" s="363">
        <f t="shared" si="168"/>
        <v>167066.10756573183</v>
      </c>
      <c r="J419" s="366">
        <f t="shared" si="169"/>
        <v>1.5707903411403878</v>
      </c>
      <c r="K419" s="374">
        <f t="shared" si="185"/>
        <v>51.700633903951122</v>
      </c>
      <c r="L419" s="375">
        <f t="shared" si="186"/>
        <v>1.5514529979430933</v>
      </c>
      <c r="M419" s="363">
        <f t="shared" si="170"/>
        <v>1.8918605961371844</v>
      </c>
      <c r="N419" s="366">
        <f t="shared" si="171"/>
        <v>1.0138692167854146</v>
      </c>
      <c r="O419" s="367">
        <f t="shared" si="172"/>
        <v>1.1979156292998687</v>
      </c>
      <c r="P419" s="368">
        <f t="shared" si="173"/>
        <v>0.72556556680314765</v>
      </c>
      <c r="Q419" s="369">
        <f t="shared" si="174"/>
        <v>-18.151360838632048</v>
      </c>
      <c r="R419" s="370">
        <f t="shared" si="175"/>
        <v>-223.02488405720297</v>
      </c>
      <c r="S419" s="372">
        <f t="shared" si="176"/>
        <v>-43.024884057202968</v>
      </c>
      <c r="U419" s="345">
        <f t="shared" si="182"/>
        <v>40274.5</v>
      </c>
      <c r="V419" s="345">
        <f t="shared" si="183"/>
        <v>1622035350.25</v>
      </c>
      <c r="X419" s="371">
        <f t="shared" si="177"/>
        <v>12.37104197360283</v>
      </c>
      <c r="Y419" s="372">
        <f t="shared" si="178"/>
        <v>-59.198375319883581</v>
      </c>
      <c r="AA419" s="371">
        <f t="shared" si="179"/>
        <v>26.978822455599122</v>
      </c>
      <c r="AB419" s="372">
        <f t="shared" si="180"/>
        <v>-163.82650873731939</v>
      </c>
      <c r="AD419">
        <f t="shared" si="184"/>
        <v>0</v>
      </c>
      <c r="AE419">
        <f t="shared" si="187"/>
        <v>0</v>
      </c>
    </row>
    <row r="420" spans="1:31" x14ac:dyDescent="0.2">
      <c r="A420" s="373">
        <v>40506.25</v>
      </c>
      <c r="B420" s="390">
        <f t="shared" si="181"/>
        <v>40.506250000000001</v>
      </c>
      <c r="C420" s="363">
        <f t="shared" si="162"/>
        <v>57.1723765739806</v>
      </c>
      <c r="D420" s="364">
        <f t="shared" si="163"/>
        <v>1.5533044704838483</v>
      </c>
      <c r="E420" s="364">
        <f t="shared" si="164"/>
        <v>1.0455980226734927</v>
      </c>
      <c r="F420" s="365">
        <f t="shared" si="165"/>
        <v>0.29641261281900183</v>
      </c>
      <c r="G420" s="364">
        <f t="shared" si="166"/>
        <v>1.5660359277032938</v>
      </c>
      <c r="H420" s="365">
        <f t="shared" si="167"/>
        <v>-0.87817724367046501</v>
      </c>
      <c r="I420" s="363">
        <f t="shared" si="168"/>
        <v>168027.44961658222</v>
      </c>
      <c r="J420" s="366">
        <f t="shared" si="169"/>
        <v>1.5707903753863484</v>
      </c>
      <c r="K420" s="374">
        <f t="shared" si="185"/>
        <v>51.998021883655731</v>
      </c>
      <c r="L420" s="375">
        <f t="shared" si="186"/>
        <v>1.5515636403232909</v>
      </c>
      <c r="M420" s="363">
        <f t="shared" si="170"/>
        <v>1.8997115480120532</v>
      </c>
      <c r="N420" s="366">
        <f t="shared" si="171"/>
        <v>1.0164405030774513</v>
      </c>
      <c r="O420" s="367">
        <f t="shared" si="172"/>
        <v>1.2000617909176912</v>
      </c>
      <c r="P420" s="368">
        <f t="shared" si="173"/>
        <v>0.72907951687270323</v>
      </c>
      <c r="Q420" s="369">
        <f t="shared" si="174"/>
        <v>-18.219042958003513</v>
      </c>
      <c r="R420" s="370">
        <f t="shared" si="175"/>
        <v>-223.44298970228812</v>
      </c>
      <c r="S420" s="372">
        <f t="shared" si="176"/>
        <v>-43.442989702288116</v>
      </c>
      <c r="U420" s="345">
        <f t="shared" si="182"/>
        <v>40506.25</v>
      </c>
      <c r="V420" s="345">
        <f t="shared" si="183"/>
        <v>1640756289.0625</v>
      </c>
      <c r="X420" s="371">
        <f t="shared" si="177"/>
        <v>12.335052815739207</v>
      </c>
      <c r="Y420" s="372">
        <f t="shared" si="178"/>
        <v>-59.339361793226601</v>
      </c>
      <c r="AA420" s="371">
        <f t="shared" si="179"/>
        <v>26.947129494091282</v>
      </c>
      <c r="AB420" s="372">
        <f t="shared" si="180"/>
        <v>-164.10362790906154</v>
      </c>
      <c r="AD420">
        <f t="shared" si="184"/>
        <v>0</v>
      </c>
      <c r="AE420">
        <f t="shared" si="187"/>
        <v>0</v>
      </c>
    </row>
    <row r="421" spans="1:31" x14ac:dyDescent="0.2">
      <c r="A421" s="373">
        <v>40738</v>
      </c>
      <c r="B421" s="390">
        <f t="shared" si="181"/>
        <v>40.738</v>
      </c>
      <c r="C421" s="363">
        <f t="shared" si="162"/>
        <v>57.499379351733992</v>
      </c>
      <c r="D421" s="364">
        <f t="shared" si="163"/>
        <v>1.5534039578892924</v>
      </c>
      <c r="E421" s="364">
        <f t="shared" si="164"/>
        <v>1.0461097440924965</v>
      </c>
      <c r="F421" s="365">
        <f t="shared" si="165"/>
        <v>0.29801010610207584</v>
      </c>
      <c r="G421" s="364">
        <f t="shared" si="166"/>
        <v>1.5713485297948573</v>
      </c>
      <c r="H421" s="365">
        <f t="shared" si="167"/>
        <v>-0.88097930342668962</v>
      </c>
      <c r="I421" s="363">
        <f t="shared" si="168"/>
        <v>168988.79166743284</v>
      </c>
      <c r="J421" s="366">
        <f t="shared" si="169"/>
        <v>1.5707904092426723</v>
      </c>
      <c r="K421" s="374">
        <f t="shared" si="185"/>
        <v>52.295410492666718</v>
      </c>
      <c r="L421" s="375">
        <f t="shared" si="186"/>
        <v>1.5516730243235064</v>
      </c>
      <c r="M421" s="363">
        <f t="shared" si="170"/>
        <v>1.9075749564212758</v>
      </c>
      <c r="N421" s="366">
        <f t="shared" si="171"/>
        <v>1.0189906073933868</v>
      </c>
      <c r="O421" s="367">
        <f t="shared" si="172"/>
        <v>1.2022176067584569</v>
      </c>
      <c r="P421" s="368">
        <f t="shared" si="173"/>
        <v>0.73258470213813864</v>
      </c>
      <c r="Q421" s="369">
        <f t="shared" si="174"/>
        <v>-18.28640198414487</v>
      </c>
      <c r="R421" s="370">
        <f t="shared" si="175"/>
        <v>-223.85838372127193</v>
      </c>
      <c r="S421" s="372">
        <f t="shared" si="176"/>
        <v>-43.858383721271935</v>
      </c>
      <c r="U421" s="345">
        <f t="shared" si="182"/>
        <v>40738</v>
      </c>
      <c r="V421" s="345">
        <f t="shared" si="183"/>
        <v>1659584644</v>
      </c>
      <c r="X421" s="371">
        <f t="shared" si="177"/>
        <v>12.299155603843106</v>
      </c>
      <c r="Y421" s="372">
        <f t="shared" si="178"/>
        <v>-59.479206706273473</v>
      </c>
      <c r="AA421" s="371">
        <f t="shared" si="179"/>
        <v>26.91566767984602</v>
      </c>
      <c r="AB421" s="372">
        <f t="shared" si="180"/>
        <v>-164.37917701499845</v>
      </c>
      <c r="AD421">
        <f t="shared" si="184"/>
        <v>0</v>
      </c>
      <c r="AE421">
        <f t="shared" si="187"/>
        <v>0</v>
      </c>
    </row>
    <row r="422" spans="1:31" x14ac:dyDescent="0.2">
      <c r="A422" s="373">
        <v>40975.25</v>
      </c>
      <c r="B422" s="390">
        <f t="shared" si="181"/>
        <v>40.975250000000003</v>
      </c>
      <c r="C422" s="363">
        <f t="shared" si="162"/>
        <v>57.834143295998068</v>
      </c>
      <c r="D422" s="364">
        <f t="shared" si="163"/>
        <v>1.5535046409761373</v>
      </c>
      <c r="E422" s="364">
        <f t="shared" si="164"/>
        <v>1.0466363726286789</v>
      </c>
      <c r="F422" s="365">
        <f t="shared" si="165"/>
        <v>0.29964388942110076</v>
      </c>
      <c r="G422" s="364">
        <f t="shared" si="166"/>
        <v>1.5767999060349054</v>
      </c>
      <c r="H422" s="365">
        <f t="shared" si="167"/>
        <v>-0.88382828097113442</v>
      </c>
      <c r="I422" s="363">
        <f t="shared" si="168"/>
        <v>169972.94873998669</v>
      </c>
      <c r="J422" s="366">
        <f t="shared" si="169"/>
        <v>1.5707904435057767</v>
      </c>
      <c r="K422" s="374">
        <f t="shared" si="185"/>
        <v>52.599857508760593</v>
      </c>
      <c r="L422" s="375">
        <f t="shared" si="186"/>
        <v>1.5517837230270768</v>
      </c>
      <c r="M422" s="363">
        <f t="shared" si="170"/>
        <v>1.9156377262569717</v>
      </c>
      <c r="N422" s="366">
        <f t="shared" si="171"/>
        <v>1.0215795279287692</v>
      </c>
      <c r="O422" s="367">
        <f t="shared" si="172"/>
        <v>1.2044345534717238</v>
      </c>
      <c r="P422" s="368">
        <f t="shared" si="173"/>
        <v>0.73616400094228018</v>
      </c>
      <c r="Q422" s="369">
        <f t="shared" si="174"/>
        <v>-18.355028391651484</v>
      </c>
      <c r="R422" s="370">
        <f t="shared" si="175"/>
        <v>-224.28085026798922</v>
      </c>
      <c r="S422" s="372">
        <f t="shared" si="176"/>
        <v>-44.280850267989223</v>
      </c>
      <c r="U422" s="345">
        <f t="shared" si="182"/>
        <v>40975.25</v>
      </c>
      <c r="V422" s="345">
        <f t="shared" si="183"/>
        <v>1678971112.5625</v>
      </c>
      <c r="X422" s="371">
        <f t="shared" si="177"/>
        <v>12.262501883246824</v>
      </c>
      <c r="Y422" s="372">
        <f t="shared" si="178"/>
        <v>-59.621200321227008</v>
      </c>
      <c r="AA422" s="371">
        <f t="shared" si="179"/>
        <v>26.883694992935698</v>
      </c>
      <c r="AB422" s="372">
        <f t="shared" si="180"/>
        <v>-164.65964994676224</v>
      </c>
      <c r="AD422">
        <f t="shared" si="184"/>
        <v>0</v>
      </c>
      <c r="AE422">
        <f t="shared" si="187"/>
        <v>0</v>
      </c>
    </row>
    <row r="423" spans="1:31" x14ac:dyDescent="0.2">
      <c r="A423" s="373">
        <v>41212.5</v>
      </c>
      <c r="B423" s="390">
        <f t="shared" si="181"/>
        <v>41.212499999999999</v>
      </c>
      <c r="C423" s="363">
        <f t="shared" si="162"/>
        <v>58.168907819783726</v>
      </c>
      <c r="D423" s="364">
        <f t="shared" si="163"/>
        <v>1.5536041651931383</v>
      </c>
      <c r="E423" s="364">
        <f t="shared" si="164"/>
        <v>1.0471657920825059</v>
      </c>
      <c r="F423" s="365">
        <f t="shared" si="165"/>
        <v>0.301276025097378</v>
      </c>
      <c r="G423" s="364">
        <f t="shared" si="166"/>
        <v>1.5822639923954209</v>
      </c>
      <c r="H423" s="365">
        <f t="shared" si="167"/>
        <v>-0.88665760440523178</v>
      </c>
      <c r="I423" s="363">
        <f t="shared" si="168"/>
        <v>170957.10581254071</v>
      </c>
      <c r="J423" s="366">
        <f t="shared" si="169"/>
        <v>1.5707904773743928</v>
      </c>
      <c r="K423" s="374">
        <f t="shared" si="185"/>
        <v>52.904305162005222</v>
      </c>
      <c r="L423" s="375">
        <f t="shared" si="186"/>
        <v>1.5518931476594617</v>
      </c>
      <c r="M423" s="363">
        <f t="shared" si="170"/>
        <v>1.9237132279949727</v>
      </c>
      <c r="N423" s="366">
        <f t="shared" si="171"/>
        <v>1.0241467296371198</v>
      </c>
      <c r="O423" s="367">
        <f t="shared" si="172"/>
        <v>1.2066615520139699</v>
      </c>
      <c r="P423" s="368">
        <f t="shared" si="173"/>
        <v>0.739734126855352</v>
      </c>
      <c r="Q423" s="369">
        <f t="shared" si="174"/>
        <v>-18.423323183244751</v>
      </c>
      <c r="R423" s="370">
        <f t="shared" si="175"/>
        <v>-224.70052173298504</v>
      </c>
      <c r="S423" s="372">
        <f t="shared" si="176"/>
        <v>-44.700521732985038</v>
      </c>
      <c r="U423" s="345">
        <f t="shared" si="182"/>
        <v>41212.5</v>
      </c>
      <c r="V423" s="345">
        <f t="shared" si="183"/>
        <v>1698470156.25</v>
      </c>
      <c r="X423" s="371">
        <f t="shared" si="177"/>
        <v>12.225944863572536</v>
      </c>
      <c r="Y423" s="372">
        <f t="shared" si="178"/>
        <v>-59.762022515353522</v>
      </c>
      <c r="AA423" s="371">
        <f t="shared" si="179"/>
        <v>26.851957221016715</v>
      </c>
      <c r="AB423" s="372">
        <f t="shared" si="180"/>
        <v>-164.93849921763149</v>
      </c>
      <c r="AD423">
        <f t="shared" si="184"/>
        <v>0</v>
      </c>
      <c r="AE423">
        <f t="shared" si="187"/>
        <v>0</v>
      </c>
    </row>
    <row r="424" spans="1:31" x14ac:dyDescent="0.2">
      <c r="A424" s="373">
        <v>41449.75</v>
      </c>
      <c r="B424" s="390">
        <f t="shared" si="181"/>
        <v>41.449750000000002</v>
      </c>
      <c r="C424" s="363">
        <f t="shared" si="162"/>
        <v>58.503672913142672</v>
      </c>
      <c r="D424" s="364">
        <f t="shared" si="163"/>
        <v>1.5537025504318869</v>
      </c>
      <c r="E424" s="364">
        <f t="shared" si="164"/>
        <v>1.0476979982230841</v>
      </c>
      <c r="F424" s="365">
        <f t="shared" si="165"/>
        <v>0.30290650693968141</v>
      </c>
      <c r="G424" s="364">
        <f t="shared" si="166"/>
        <v>1.5877406576537276</v>
      </c>
      <c r="H424" s="365">
        <f t="shared" si="167"/>
        <v>-0.8894674315780603</v>
      </c>
      <c r="I424" s="363">
        <f t="shared" si="168"/>
        <v>171941.26288509497</v>
      </c>
      <c r="J424" s="366">
        <f t="shared" si="169"/>
        <v>1.5707905108552949</v>
      </c>
      <c r="K424" s="374">
        <f t="shared" si="185"/>
        <v>53.208753441463735</v>
      </c>
      <c r="L424" s="375">
        <f t="shared" si="186"/>
        <v>1.5520013200878475</v>
      </c>
      <c r="M424" s="363">
        <f t="shared" si="170"/>
        <v>1.9318013019659155</v>
      </c>
      <c r="N424" s="366">
        <f t="shared" si="171"/>
        <v>1.0266924512640834</v>
      </c>
      <c r="O424" s="367">
        <f t="shared" si="172"/>
        <v>1.208898569146057</v>
      </c>
      <c r="P424" s="368">
        <f t="shared" si="173"/>
        <v>0.74329508704127989</v>
      </c>
      <c r="Q424" s="369">
        <f t="shared" si="174"/>
        <v>-18.491289812958325</v>
      </c>
      <c r="R424" s="370">
        <f t="shared" si="175"/>
        <v>-225.11742149185179</v>
      </c>
      <c r="S424" s="372">
        <f t="shared" si="176"/>
        <v>-45.117421491851786</v>
      </c>
      <c r="U424" s="345">
        <f t="shared" si="182"/>
        <v>41449.75</v>
      </c>
      <c r="V424" s="345">
        <f t="shared" si="183"/>
        <v>1718081775.0625</v>
      </c>
      <c r="X424" s="371">
        <f t="shared" si="177"/>
        <v>12.189484689323784</v>
      </c>
      <c r="Y424" s="372">
        <f t="shared" si="178"/>
        <v>-59.901685715261493</v>
      </c>
      <c r="AA424" s="371">
        <f t="shared" si="179"/>
        <v>26.820450765551893</v>
      </c>
      <c r="AB424" s="372">
        <f t="shared" si="180"/>
        <v>-165.21573577659029</v>
      </c>
      <c r="AD424">
        <f t="shared" si="184"/>
        <v>0</v>
      </c>
      <c r="AE424">
        <f t="shared" si="187"/>
        <v>0</v>
      </c>
    </row>
    <row r="425" spans="1:31" x14ac:dyDescent="0.2">
      <c r="A425" s="373">
        <v>41687</v>
      </c>
      <c r="B425" s="390">
        <f t="shared" si="181"/>
        <v>41.686999999999998</v>
      </c>
      <c r="C425" s="363">
        <f t="shared" si="162"/>
        <v>58.838438566353048</v>
      </c>
      <c r="D425" s="364">
        <f t="shared" si="163"/>
        <v>1.5537998161313658</v>
      </c>
      <c r="E425" s="364">
        <f t="shared" si="164"/>
        <v>1.0482329868058653</v>
      </c>
      <c r="F425" s="365">
        <f t="shared" si="165"/>
        <v>0.30453532880449879</v>
      </c>
      <c r="G425" s="364">
        <f t="shared" si="166"/>
        <v>1.5932297720914175</v>
      </c>
      <c r="H425" s="365">
        <f t="shared" si="167"/>
        <v>-0.89225791940225618</v>
      </c>
      <c r="I425" s="363">
        <f t="shared" si="168"/>
        <v>172925.41995764937</v>
      </c>
      <c r="J425" s="366">
        <f t="shared" si="169"/>
        <v>1.5707905439551022</v>
      </c>
      <c r="K425" s="374">
        <f t="shared" si="185"/>
        <v>53.513202336448131</v>
      </c>
      <c r="L425" s="375">
        <f t="shared" si="186"/>
        <v>1.5521082616819089</v>
      </c>
      <c r="M425" s="363">
        <f t="shared" si="170"/>
        <v>1.9399017909167682</v>
      </c>
      <c r="N425" s="366">
        <f t="shared" si="171"/>
        <v>1.0292169286905164</v>
      </c>
      <c r="O425" s="367">
        <f t="shared" si="172"/>
        <v>1.211145571753828</v>
      </c>
      <c r="P425" s="368">
        <f t="shared" si="173"/>
        <v>0.74684688909436325</v>
      </c>
      <c r="Q425" s="369">
        <f t="shared" si="174"/>
        <v>-18.55893167956247</v>
      </c>
      <c r="R425" s="370">
        <f t="shared" si="175"/>
        <v>-225.53157272687633</v>
      </c>
      <c r="S425" s="372">
        <f t="shared" si="176"/>
        <v>-45.531572726876334</v>
      </c>
      <c r="U425" s="345">
        <f t="shared" si="182"/>
        <v>41687</v>
      </c>
      <c r="V425" s="345">
        <f t="shared" si="183"/>
        <v>1737805969</v>
      </c>
      <c r="X425" s="371">
        <f t="shared" si="177"/>
        <v>12.1531214875987</v>
      </c>
      <c r="Y425" s="372">
        <f t="shared" si="178"/>
        <v>-60.04020221191557</v>
      </c>
      <c r="AA425" s="371">
        <f t="shared" si="179"/>
        <v>26.789172100672829</v>
      </c>
      <c r="AB425" s="372">
        <f t="shared" si="180"/>
        <v>-165.49137051496078</v>
      </c>
      <c r="AD425">
        <f t="shared" si="184"/>
        <v>0</v>
      </c>
      <c r="AE425">
        <f t="shared" si="187"/>
        <v>0</v>
      </c>
    </row>
    <row r="426" spans="1:31" x14ac:dyDescent="0.2">
      <c r="A426" s="373">
        <v>41929.75</v>
      </c>
      <c r="B426" s="390">
        <f t="shared" si="181"/>
        <v>41.929749999999999</v>
      </c>
      <c r="C426" s="363">
        <f t="shared" si="162"/>
        <v>59.180965425973689</v>
      </c>
      <c r="D426" s="364">
        <f t="shared" si="163"/>
        <v>1.5538981977171593</v>
      </c>
      <c r="E426" s="364">
        <f t="shared" si="164"/>
        <v>1.0487832531565164</v>
      </c>
      <c r="F426" s="365">
        <f t="shared" si="165"/>
        <v>0.30620018599727067</v>
      </c>
      <c r="G426" s="364">
        <f t="shared" si="166"/>
        <v>1.5988588884966957</v>
      </c>
      <c r="H426" s="365">
        <f t="shared" si="167"/>
        <v>-0.89509324277520752</v>
      </c>
      <c r="I426" s="363">
        <f t="shared" si="168"/>
        <v>173932.39205190705</v>
      </c>
      <c r="J426" s="366">
        <f t="shared" si="169"/>
        <v>1.5707905774345376</v>
      </c>
      <c r="K426" s="374">
        <f t="shared" si="185"/>
        <v>53.824709682385418</v>
      </c>
      <c r="L426" s="375">
        <f t="shared" si="186"/>
        <v>1.5522164302446964</v>
      </c>
      <c r="M426" s="363">
        <f t="shared" si="170"/>
        <v>1.9482027563085846</v>
      </c>
      <c r="N426" s="366">
        <f t="shared" si="171"/>
        <v>1.0317781837165658</v>
      </c>
      <c r="O426" s="367">
        <f t="shared" si="172"/>
        <v>1.2134549660254079</v>
      </c>
      <c r="P426" s="368">
        <f t="shared" si="173"/>
        <v>0.75047155939002341</v>
      </c>
      <c r="Q426" s="369">
        <f t="shared" si="174"/>
        <v>-18.62780898477159</v>
      </c>
      <c r="R426" s="370">
        <f t="shared" si="175"/>
        <v>-225.9525040786159</v>
      </c>
      <c r="S426" s="372">
        <f t="shared" si="176"/>
        <v>-45.952504078615902</v>
      </c>
      <c r="U426" s="345">
        <f t="shared" si="182"/>
        <v>41929.75</v>
      </c>
      <c r="V426" s="345">
        <f t="shared" si="183"/>
        <v>1758103935.0625</v>
      </c>
      <c r="X426" s="371">
        <f t="shared" si="177"/>
        <v>12.11601578884938</v>
      </c>
      <c r="Y426" s="372">
        <f t="shared" si="178"/>
        <v>-60.180755631432135</v>
      </c>
      <c r="AA426" s="371">
        <f t="shared" si="179"/>
        <v>26.75740049421303</v>
      </c>
      <c r="AB426" s="372">
        <f t="shared" si="180"/>
        <v>-165.77174844718377</v>
      </c>
      <c r="AD426">
        <f t="shared" si="184"/>
        <v>0</v>
      </c>
      <c r="AE426">
        <f t="shared" si="187"/>
        <v>0</v>
      </c>
    </row>
    <row r="427" spans="1:31" x14ac:dyDescent="0.2">
      <c r="A427" s="373">
        <v>42172.5</v>
      </c>
      <c r="B427" s="390">
        <f t="shared" si="181"/>
        <v>42.172499999999999</v>
      </c>
      <c r="C427" s="363">
        <f t="shared" si="162"/>
        <v>59.52349285181068</v>
      </c>
      <c r="D427" s="364">
        <f t="shared" si="163"/>
        <v>1.5539954470319126</v>
      </c>
      <c r="E427" s="364">
        <f t="shared" si="164"/>
        <v>1.0493364234181062</v>
      </c>
      <c r="F427" s="365">
        <f t="shared" si="165"/>
        <v>0.30786329249690519</v>
      </c>
      <c r="G427" s="364">
        <f t="shared" si="166"/>
        <v>1.6045007679749377</v>
      </c>
      <c r="H427" s="365">
        <f t="shared" si="167"/>
        <v>-0.89790864904781387</v>
      </c>
      <c r="I427" s="363">
        <f t="shared" si="168"/>
        <v>174939.36414616494</v>
      </c>
      <c r="J427" s="366">
        <f t="shared" si="169"/>
        <v>1.5707906105285498</v>
      </c>
      <c r="K427" s="374">
        <f t="shared" si="185"/>
        <v>54.136217650847783</v>
      </c>
      <c r="L427" s="375">
        <f t="shared" si="186"/>
        <v>1.5523233539722454</v>
      </c>
      <c r="M427" s="363">
        <f t="shared" si="170"/>
        <v>1.9565163934686771</v>
      </c>
      <c r="N427" s="366">
        <f t="shared" si="171"/>
        <v>1.0343176886942618</v>
      </c>
      <c r="O427" s="367">
        <f t="shared" si="172"/>
        <v>1.2157747443807665</v>
      </c>
      <c r="P427" s="368">
        <f t="shared" si="173"/>
        <v>0.75408665945372599</v>
      </c>
      <c r="Q427" s="369">
        <f t="shared" si="174"/>
        <v>-18.696353321316433</v>
      </c>
      <c r="R427" s="370">
        <f t="shared" si="175"/>
        <v>-226.37060647938563</v>
      </c>
      <c r="S427" s="372">
        <f t="shared" si="176"/>
        <v>-46.370606479385629</v>
      </c>
      <c r="U427" s="345">
        <f t="shared" si="182"/>
        <v>42172.5</v>
      </c>
      <c r="V427" s="345">
        <f t="shared" si="183"/>
        <v>1778519756.25</v>
      </c>
      <c r="X427" s="371">
        <f t="shared" si="177"/>
        <v>12.079011826529404</v>
      </c>
      <c r="Y427" s="372">
        <f t="shared" si="178"/>
        <v>-60.320134166694672</v>
      </c>
      <c r="AA427" s="371">
        <f t="shared" si="179"/>
        <v>26.72586011998817</v>
      </c>
      <c r="AB427" s="372">
        <f t="shared" si="180"/>
        <v>-166.05047231269097</v>
      </c>
      <c r="AD427">
        <f t="shared" si="184"/>
        <v>0</v>
      </c>
      <c r="AE427">
        <f t="shared" si="187"/>
        <v>0</v>
      </c>
    </row>
    <row r="428" spans="1:31" x14ac:dyDescent="0.2">
      <c r="A428" s="373">
        <v>42415.25</v>
      </c>
      <c r="B428" s="390">
        <f t="shared" si="181"/>
        <v>42.41525</v>
      </c>
      <c r="C428" s="363">
        <f t="shared" si="162"/>
        <v>59.866020834145111</v>
      </c>
      <c r="D428" s="364">
        <f t="shared" si="163"/>
        <v>1.5540915835088944</v>
      </c>
      <c r="E428" s="364">
        <f t="shared" si="164"/>
        <v>1.0498924930005722</v>
      </c>
      <c r="F428" s="365">
        <f t="shared" si="165"/>
        <v>0.30952464187787782</v>
      </c>
      <c r="G428" s="364">
        <f t="shared" si="166"/>
        <v>1.6101552763632137</v>
      </c>
      <c r="H428" s="365">
        <f t="shared" si="167"/>
        <v>-0.90070430318540973</v>
      </c>
      <c r="I428" s="363">
        <f t="shared" si="168"/>
        <v>175946.336240423</v>
      </c>
      <c r="J428" s="366">
        <f t="shared" si="169"/>
        <v>1.5707906432437562</v>
      </c>
      <c r="K428" s="374">
        <f t="shared" si="185"/>
        <v>54.447726231150398</v>
      </c>
      <c r="L428" s="375">
        <f t="shared" si="186"/>
        <v>1.5524290542280981</v>
      </c>
      <c r="M428" s="363">
        <f t="shared" si="170"/>
        <v>1.9648425415467832</v>
      </c>
      <c r="N428" s="366">
        <f t="shared" si="171"/>
        <v>1.036835687161265</v>
      </c>
      <c r="O428" s="367">
        <f t="shared" si="172"/>
        <v>1.2181048717654104</v>
      </c>
      <c r="P428" s="368">
        <f t="shared" si="173"/>
        <v>0.75769219877488669</v>
      </c>
      <c r="Q428" s="369">
        <f t="shared" si="174"/>
        <v>-18.764568157461593</v>
      </c>
      <c r="R428" s="370">
        <f t="shared" si="175"/>
        <v>-226.78590413632475</v>
      </c>
      <c r="S428" s="372">
        <f t="shared" si="176"/>
        <v>-46.785904136324746</v>
      </c>
      <c r="U428" s="345">
        <f t="shared" si="182"/>
        <v>42415.25</v>
      </c>
      <c r="V428" s="345">
        <f t="shared" si="183"/>
        <v>1799053432.5625</v>
      </c>
      <c r="X428" s="371">
        <f t="shared" si="177"/>
        <v>12.042109683659532</v>
      </c>
      <c r="Y428" s="372">
        <f t="shared" si="178"/>
        <v>-60.458350547721764</v>
      </c>
      <c r="AA428" s="371">
        <f t="shared" si="179"/>
        <v>26.694547426712877</v>
      </c>
      <c r="AB428" s="372">
        <f t="shared" si="180"/>
        <v>-166.32755358860297</v>
      </c>
      <c r="AD428">
        <f t="shared" si="184"/>
        <v>0</v>
      </c>
      <c r="AE428">
        <f t="shared" si="187"/>
        <v>0</v>
      </c>
    </row>
    <row r="429" spans="1:31" x14ac:dyDescent="0.2">
      <c r="A429" s="373">
        <v>42658</v>
      </c>
      <c r="B429" s="390">
        <f t="shared" si="181"/>
        <v>42.658000000000001</v>
      </c>
      <c r="C429" s="363">
        <f t="shared" si="162"/>
        <v>60.208549363479179</v>
      </c>
      <c r="D429" s="364">
        <f t="shared" si="163"/>
        <v>1.5541866261392305</v>
      </c>
      <c r="E429" s="364">
        <f t="shared" si="164"/>
        <v>1.0504514572995398</v>
      </c>
      <c r="F429" s="365">
        <f t="shared" si="165"/>
        <v>0.31118422776703225</v>
      </c>
      <c r="G429" s="364">
        <f t="shared" si="166"/>
        <v>1.6158222810783636</v>
      </c>
      <c r="H429" s="365">
        <f t="shared" si="167"/>
        <v>-0.90348036908182583</v>
      </c>
      <c r="I429" s="363">
        <f t="shared" si="168"/>
        <v>176953.30833468123</v>
      </c>
      <c r="J429" s="366">
        <f t="shared" si="169"/>
        <v>1.5707906755866237</v>
      </c>
      <c r="K429" s="374">
        <f t="shared" si="185"/>
        <v>54.759235412851538</v>
      </c>
      <c r="L429" s="375">
        <f t="shared" si="186"/>
        <v>1.552533551889784</v>
      </c>
      <c r="M429" s="363">
        <f t="shared" si="170"/>
        <v>1.9731810421675446</v>
      </c>
      <c r="N429" s="366">
        <f t="shared" si="171"/>
        <v>1.0393324196387095</v>
      </c>
      <c r="O429" s="367">
        <f t="shared" si="172"/>
        <v>1.2204453132685409</v>
      </c>
      <c r="P429" s="368">
        <f t="shared" si="173"/>
        <v>0.76128818728472758</v>
      </c>
      <c r="Q429" s="369">
        <f t="shared" si="174"/>
        <v>-18.83245690569694</v>
      </c>
      <c r="R429" s="370">
        <f t="shared" si="175"/>
        <v>-227.19842104716349</v>
      </c>
      <c r="S429" s="372">
        <f t="shared" si="176"/>
        <v>-47.198421047163492</v>
      </c>
      <c r="U429" s="345">
        <f t="shared" si="182"/>
        <v>42658</v>
      </c>
      <c r="V429" s="345">
        <f t="shared" si="183"/>
        <v>1819704964</v>
      </c>
      <c r="X429" s="371">
        <f t="shared" si="177"/>
        <v>12.005309426468973</v>
      </c>
      <c r="Y429" s="372">
        <f t="shared" si="178"/>
        <v>-60.595417359535396</v>
      </c>
      <c r="AA429" s="371">
        <f t="shared" si="179"/>
        <v>26.663458935668093</v>
      </c>
      <c r="AB429" s="372">
        <f t="shared" si="180"/>
        <v>-166.60300368762805</v>
      </c>
      <c r="AD429">
        <f t="shared" si="184"/>
        <v>0</v>
      </c>
      <c r="AE429">
        <f t="shared" si="187"/>
        <v>0</v>
      </c>
    </row>
    <row r="430" spans="1:31" x14ac:dyDescent="0.2">
      <c r="A430" s="373">
        <v>42906.5</v>
      </c>
      <c r="B430" s="390">
        <f t="shared" si="181"/>
        <v>42.906500000000001</v>
      </c>
      <c r="C430" s="363">
        <f t="shared" si="162"/>
        <v>60.559191895823446</v>
      </c>
      <c r="D430" s="364">
        <f t="shared" si="163"/>
        <v>1.5542828063939145</v>
      </c>
      <c r="E430" s="364">
        <f t="shared" si="164"/>
        <v>1.0510266552987069</v>
      </c>
      <c r="F430" s="365">
        <f t="shared" si="165"/>
        <v>0.31288129089296263</v>
      </c>
      <c r="G430" s="364">
        <f t="shared" si="166"/>
        <v>1.6216363267420002</v>
      </c>
      <c r="H430" s="365">
        <f t="shared" si="167"/>
        <v>-0.90630207168515231</v>
      </c>
      <c r="I430" s="363">
        <f t="shared" si="168"/>
        <v>177984.1324970838</v>
      </c>
      <c r="J430" s="366">
        <f t="shared" si="169"/>
        <v>1.5707907083165189</v>
      </c>
      <c r="K430" s="374">
        <f t="shared" si="185"/>
        <v>55.078123900119223</v>
      </c>
      <c r="L430" s="375">
        <f t="shared" si="186"/>
        <v>1.5526393004191477</v>
      </c>
      <c r="M430" s="363">
        <f t="shared" si="170"/>
        <v>1.9817296883023106</v>
      </c>
      <c r="N430" s="366">
        <f t="shared" si="171"/>
        <v>1.0418665124431834</v>
      </c>
      <c r="O430" s="367">
        <f t="shared" si="172"/>
        <v>1.2228518398065473</v>
      </c>
      <c r="P430" s="368">
        <f t="shared" si="173"/>
        <v>0.76495947167881384</v>
      </c>
      <c r="Q430" s="369">
        <f t="shared" si="174"/>
        <v>-18.901619469141757</v>
      </c>
      <c r="R430" s="370">
        <f t="shared" si="175"/>
        <v>-227.61785372046407</v>
      </c>
      <c r="S430" s="372">
        <f t="shared" si="176"/>
        <v>-47.617853720464069</v>
      </c>
      <c r="U430" s="345">
        <f t="shared" si="182"/>
        <v>42906.5</v>
      </c>
      <c r="V430" s="345">
        <f t="shared" si="183"/>
        <v>1840967742.25</v>
      </c>
      <c r="X430" s="371">
        <f t="shared" si="177"/>
        <v>11.967743070881507</v>
      </c>
      <c r="Y430" s="372">
        <f t="shared" si="178"/>
        <v>-60.734553113147832</v>
      </c>
      <c r="AA430" s="371">
        <f t="shared" si="179"/>
        <v>26.631862727810734</v>
      </c>
      <c r="AB430" s="372">
        <f t="shared" si="180"/>
        <v>-166.88330060731622</v>
      </c>
      <c r="AD430">
        <f t="shared" si="184"/>
        <v>0</v>
      </c>
      <c r="AE430">
        <f t="shared" si="187"/>
        <v>0</v>
      </c>
    </row>
    <row r="431" spans="1:31" x14ac:dyDescent="0.2">
      <c r="A431" s="373">
        <v>43155</v>
      </c>
      <c r="B431" s="390">
        <f t="shared" si="181"/>
        <v>43.155000000000001</v>
      </c>
      <c r="C431" s="363">
        <f t="shared" si="162"/>
        <v>60.909834981929087</v>
      </c>
      <c r="D431" s="364">
        <f t="shared" si="163"/>
        <v>1.5543778792768645</v>
      </c>
      <c r="E431" s="364">
        <f t="shared" si="164"/>
        <v>1.0516048769626536</v>
      </c>
      <c r="F431" s="365">
        <f t="shared" si="165"/>
        <v>0.31457649264691012</v>
      </c>
      <c r="G431" s="364">
        <f t="shared" si="166"/>
        <v>1.627463191571952</v>
      </c>
      <c r="H431" s="365">
        <f t="shared" si="167"/>
        <v>-0.90910359117536221</v>
      </c>
      <c r="I431" s="363">
        <f t="shared" si="168"/>
        <v>179014.95665948652</v>
      </c>
      <c r="J431" s="366">
        <f t="shared" si="169"/>
        <v>1.5707907406694763</v>
      </c>
      <c r="K431" s="374">
        <f t="shared" si="185"/>
        <v>55.397012996220823</v>
      </c>
      <c r="L431" s="375">
        <f t="shared" si="186"/>
        <v>1.5527438314813933</v>
      </c>
      <c r="M431" s="363">
        <f t="shared" si="170"/>
        <v>1.9902909509970628</v>
      </c>
      <c r="N431" s="366">
        <f t="shared" si="171"/>
        <v>1.0443788203983393</v>
      </c>
      <c r="O431" s="367">
        <f t="shared" si="172"/>
        <v>1.2252691013024091</v>
      </c>
      <c r="P431" s="368">
        <f t="shared" si="173"/>
        <v>0.76862076989159622</v>
      </c>
      <c r="Q431" s="369">
        <f t="shared" si="174"/>
        <v>-18.970447376341607</v>
      </c>
      <c r="R431" s="370">
        <f t="shared" si="175"/>
        <v>-228.03442257575955</v>
      </c>
      <c r="S431" s="372">
        <f t="shared" si="176"/>
        <v>-48.03442257575955</v>
      </c>
      <c r="U431" s="345">
        <f t="shared" si="182"/>
        <v>43155</v>
      </c>
      <c r="V431" s="345">
        <f t="shared" si="183"/>
        <v>1862354025</v>
      </c>
      <c r="X431" s="371">
        <f t="shared" si="177"/>
        <v>11.930283573711414</v>
      </c>
      <c r="Y431" s="372">
        <f t="shared" si="178"/>
        <v>-60.872510420966258</v>
      </c>
      <c r="AA431" s="371">
        <f t="shared" si="179"/>
        <v>26.600494317780981</v>
      </c>
      <c r="AB431" s="372">
        <f t="shared" si="180"/>
        <v>-167.16191215479327</v>
      </c>
      <c r="AD431">
        <f t="shared" si="184"/>
        <v>0</v>
      </c>
      <c r="AE431">
        <f t="shared" si="187"/>
        <v>0</v>
      </c>
    </row>
    <row r="432" spans="1:31" x14ac:dyDescent="0.2">
      <c r="A432" s="373">
        <v>43403.5</v>
      </c>
      <c r="B432" s="390">
        <f t="shared" si="181"/>
        <v>43.403500000000001</v>
      </c>
      <c r="C432" s="363">
        <f t="shared" si="162"/>
        <v>61.26047861228723</v>
      </c>
      <c r="D432" s="364">
        <f t="shared" si="163"/>
        <v>1.5544718638015187</v>
      </c>
      <c r="E432" s="364">
        <f t="shared" si="164"/>
        <v>1.0521861173064773</v>
      </c>
      <c r="F432" s="365">
        <f t="shared" si="165"/>
        <v>0.31626982636261186</v>
      </c>
      <c r="G432" s="364">
        <f t="shared" si="166"/>
        <v>1.633302738369748</v>
      </c>
      <c r="H432" s="365">
        <f t="shared" si="167"/>
        <v>-0.91188509982289079</v>
      </c>
      <c r="I432" s="363">
        <f t="shared" si="168"/>
        <v>180045.78082188946</v>
      </c>
      <c r="J432" s="366">
        <f t="shared" si="169"/>
        <v>1.5707907726519701</v>
      </c>
      <c r="K432" s="374">
        <f t="shared" si="185"/>
        <v>55.715902690702393</v>
      </c>
      <c r="L432" s="375">
        <f t="shared" si="186"/>
        <v>1.552847165978718</v>
      </c>
      <c r="M432" s="363">
        <f t="shared" si="170"/>
        <v>1.9988646681392555</v>
      </c>
      <c r="N432" s="366">
        <f t="shared" si="171"/>
        <v>1.046869591910208</v>
      </c>
      <c r="O432" s="367">
        <f t="shared" si="172"/>
        <v>1.227697060783423</v>
      </c>
      <c r="P432" s="368">
        <f t="shared" si="173"/>
        <v>0.77227209396672636</v>
      </c>
      <c r="Q432" s="369">
        <f t="shared" si="174"/>
        <v>-19.038944113803172</v>
      </c>
      <c r="R432" s="370">
        <f t="shared" si="175"/>
        <v>-228.44815268018823</v>
      </c>
      <c r="S432" s="372">
        <f t="shared" si="176"/>
        <v>-48.44815268018823</v>
      </c>
      <c r="U432" s="345">
        <f t="shared" si="182"/>
        <v>43403.5</v>
      </c>
      <c r="V432" s="345">
        <f t="shared" si="183"/>
        <v>1883863812.25</v>
      </c>
      <c r="X432" s="371">
        <f t="shared" si="177"/>
        <v>11.892930954812112</v>
      </c>
      <c r="Y432" s="372">
        <f t="shared" si="178"/>
        <v>-61.009302318371162</v>
      </c>
      <c r="AA432" s="371">
        <f t="shared" si="179"/>
        <v>26.569350199218718</v>
      </c>
      <c r="AB432" s="372">
        <f t="shared" si="180"/>
        <v>-167.43885036181703</v>
      </c>
      <c r="AD432">
        <f t="shared" si="184"/>
        <v>0</v>
      </c>
      <c r="AE432">
        <f t="shared" si="187"/>
        <v>0</v>
      </c>
    </row>
    <row r="433" spans="1:31" x14ac:dyDescent="0.2">
      <c r="A433" s="373">
        <v>43652</v>
      </c>
      <c r="B433" s="390">
        <f t="shared" si="181"/>
        <v>43.652000000000001</v>
      </c>
      <c r="C433" s="363">
        <f t="shared" si="162"/>
        <v>61.611122777605466</v>
      </c>
      <c r="D433" s="364">
        <f t="shared" si="163"/>
        <v>1.5545647785485524</v>
      </c>
      <c r="E433" s="364">
        <f t="shared" si="164"/>
        <v>1.0527703713302881</v>
      </c>
      <c r="F433" s="365">
        <f t="shared" si="165"/>
        <v>0.31796128543133906</v>
      </c>
      <c r="G433" s="364">
        <f t="shared" si="166"/>
        <v>1.6391548315955231</v>
      </c>
      <c r="H433" s="365">
        <f t="shared" si="167"/>
        <v>-0.91464676868458872</v>
      </c>
      <c r="I433" s="363">
        <f t="shared" si="168"/>
        <v>181076.60498429256</v>
      </c>
      <c r="J433" s="366">
        <f t="shared" si="169"/>
        <v>1.5707908042703269</v>
      </c>
      <c r="K433" s="374">
        <f t="shared" si="185"/>
        <v>56.034792973347926</v>
      </c>
      <c r="L433" s="375">
        <f t="shared" si="186"/>
        <v>1.5529493243376105</v>
      </c>
      <c r="M433" s="363">
        <f t="shared" si="170"/>
        <v>2.0074506801520093</v>
      </c>
      <c r="N433" s="366">
        <f t="shared" si="171"/>
        <v>1.0493390722131763</v>
      </c>
      <c r="O433" s="367">
        <f t="shared" si="172"/>
        <v>1.2301356814413984</v>
      </c>
      <c r="P433" s="368">
        <f t="shared" si="173"/>
        <v>0.77591345640020271</v>
      </c>
      <c r="Q433" s="369">
        <f t="shared" si="174"/>
        <v>-19.107113111652843</v>
      </c>
      <c r="R433" s="370">
        <f t="shared" si="175"/>
        <v>-228.8590688747064</v>
      </c>
      <c r="S433" s="372">
        <f t="shared" si="176"/>
        <v>-48.859068874706395</v>
      </c>
      <c r="U433" s="345">
        <f t="shared" si="182"/>
        <v>43652</v>
      </c>
      <c r="V433" s="345">
        <f t="shared" si="183"/>
        <v>1905497104</v>
      </c>
      <c r="X433" s="371">
        <f t="shared" si="177"/>
        <v>11.85568521789892</v>
      </c>
      <c r="Y433" s="372">
        <f t="shared" si="178"/>
        <v>-61.144941686268794</v>
      </c>
      <c r="AA433" s="371">
        <f t="shared" si="179"/>
        <v>26.538426938282242</v>
      </c>
      <c r="AB433" s="372">
        <f t="shared" si="180"/>
        <v>-167.71412718843763</v>
      </c>
      <c r="AD433">
        <f t="shared" si="184"/>
        <v>0</v>
      </c>
      <c r="AE433">
        <f t="shared" si="187"/>
        <v>0</v>
      </c>
    </row>
    <row r="434" spans="1:31" x14ac:dyDescent="0.2">
      <c r="A434" s="373">
        <v>43906</v>
      </c>
      <c r="B434" s="390">
        <f t="shared" si="181"/>
        <v>43.905999999999999</v>
      </c>
      <c r="C434" s="363">
        <f t="shared" si="162"/>
        <v>61.969528222374507</v>
      </c>
      <c r="D434" s="364">
        <f t="shared" si="163"/>
        <v>1.5546586631069996</v>
      </c>
      <c r="E434" s="364">
        <f t="shared" si="164"/>
        <v>1.0533706657788331</v>
      </c>
      <c r="F434" s="365">
        <f t="shared" si="165"/>
        <v>0.31968823705708105</v>
      </c>
      <c r="G434" s="364">
        <f t="shared" si="166"/>
        <v>1.64514927465367</v>
      </c>
      <c r="H434" s="365">
        <f t="shared" si="167"/>
        <v>-0.91744923449562654</v>
      </c>
      <c r="I434" s="363">
        <f t="shared" si="168"/>
        <v>182130.24416839896</v>
      </c>
      <c r="J434" s="366">
        <f t="shared" si="169"/>
        <v>1.5707908362186083</v>
      </c>
      <c r="K434" s="374">
        <f t="shared" si="185"/>
        <v>56.360741787255641</v>
      </c>
      <c r="L434" s="375">
        <f t="shared" si="186"/>
        <v>1.5530525490548792</v>
      </c>
      <c r="M434" s="363">
        <f t="shared" si="170"/>
        <v>2.0162392671631149</v>
      </c>
      <c r="N434" s="366">
        <f t="shared" si="171"/>
        <v>1.0518414577703563</v>
      </c>
      <c r="O434" s="367">
        <f t="shared" si="172"/>
        <v>1.2326392551795442</v>
      </c>
      <c r="P434" s="368">
        <f t="shared" si="173"/>
        <v>0.77962513104250442</v>
      </c>
      <c r="Q434" s="369">
        <f t="shared" si="174"/>
        <v>-19.176455692693782</v>
      </c>
      <c r="R434" s="370">
        <f t="shared" si="175"/>
        <v>-229.27619740069872</v>
      </c>
      <c r="S434" s="372">
        <f t="shared" si="176"/>
        <v>-49.27619740069872</v>
      </c>
      <c r="U434" s="345">
        <f t="shared" si="182"/>
        <v>43906</v>
      </c>
      <c r="V434" s="345">
        <f t="shared" si="183"/>
        <v>1927736836</v>
      </c>
      <c r="X434" s="371">
        <f t="shared" si="177"/>
        <v>11.817725572764852</v>
      </c>
      <c r="Y434" s="372">
        <f t="shared" si="178"/>
        <v>-61.282405307427538</v>
      </c>
      <c r="AA434" s="371">
        <f t="shared" si="179"/>
        <v>26.507044002375366</v>
      </c>
      <c r="AB434" s="372">
        <f t="shared" si="180"/>
        <v>-167.9937920932712</v>
      </c>
      <c r="AD434">
        <f t="shared" si="184"/>
        <v>0</v>
      </c>
      <c r="AE434">
        <f t="shared" si="187"/>
        <v>0</v>
      </c>
    </row>
    <row r="435" spans="1:31" x14ac:dyDescent="0.2">
      <c r="A435" s="373">
        <v>44160</v>
      </c>
      <c r="B435" s="390">
        <f t="shared" si="181"/>
        <v>44.16</v>
      </c>
      <c r="C435" s="363">
        <f t="shared" si="162"/>
        <v>62.327934207080325</v>
      </c>
      <c r="D435" s="364">
        <f t="shared" si="163"/>
        <v>1.5547514679324892</v>
      </c>
      <c r="E435" s="364">
        <f t="shared" si="164"/>
        <v>1.0539740981759347</v>
      </c>
      <c r="F435" s="365">
        <f t="shared" si="165"/>
        <v>0.32141321635722259</v>
      </c>
      <c r="G435" s="364">
        <f t="shared" si="166"/>
        <v>1.6511565445343797</v>
      </c>
      <c r="H435" s="365">
        <f t="shared" si="167"/>
        <v>-0.92023133005322499</v>
      </c>
      <c r="I435" s="363">
        <f t="shared" si="168"/>
        <v>183183.88335250551</v>
      </c>
      <c r="J435" s="366">
        <f t="shared" si="169"/>
        <v>1.5707908677993687</v>
      </c>
      <c r="K435" s="374">
        <f t="shared" si="185"/>
        <v>56.686691194800098</v>
      </c>
      <c r="L435" s="375">
        <f t="shared" si="186"/>
        <v>1.5531545866855776</v>
      </c>
      <c r="M435" s="363">
        <f t="shared" si="170"/>
        <v>2.0250403700957706</v>
      </c>
      <c r="N435" s="366">
        <f t="shared" si="171"/>
        <v>1.0543221073278974</v>
      </c>
      <c r="O435" s="367">
        <f t="shared" si="172"/>
        <v>1.235153890010722</v>
      </c>
      <c r="P435" s="368">
        <f t="shared" si="173"/>
        <v>0.78332642601562541</v>
      </c>
      <c r="Q435" s="369">
        <f t="shared" si="174"/>
        <v>-19.245462937317619</v>
      </c>
      <c r="R435" s="370">
        <f t="shared" si="175"/>
        <v>-229.69043784064266</v>
      </c>
      <c r="S435" s="372">
        <f t="shared" si="176"/>
        <v>-49.690437840642659</v>
      </c>
      <c r="U435" s="345">
        <f t="shared" si="182"/>
        <v>44160</v>
      </c>
      <c r="V435" s="345">
        <f t="shared" si="183"/>
        <v>1950105600</v>
      </c>
      <c r="X435" s="371">
        <f t="shared" si="177"/>
        <v>11.779877551748577</v>
      </c>
      <c r="Y435" s="372">
        <f t="shared" si="178"/>
        <v>-61.418691541535125</v>
      </c>
      <c r="AA435" s="371">
        <f t="shared" si="179"/>
        <v>26.475884778767806</v>
      </c>
      <c r="AB435" s="372">
        <f t="shared" si="180"/>
        <v>-168.27174629910758</v>
      </c>
      <c r="AD435">
        <f t="shared" si="184"/>
        <v>0</v>
      </c>
      <c r="AE435">
        <f t="shared" si="187"/>
        <v>0</v>
      </c>
    </row>
    <row r="436" spans="1:31" x14ac:dyDescent="0.2">
      <c r="A436" s="373">
        <v>44414</v>
      </c>
      <c r="B436" s="390">
        <f t="shared" si="181"/>
        <v>44.414000000000001</v>
      </c>
      <c r="C436" s="363">
        <f t="shared" si="162"/>
        <v>62.686340722461757</v>
      </c>
      <c r="D436" s="364">
        <f t="shared" si="163"/>
        <v>1.5548432115433921</v>
      </c>
      <c r="E436" s="364">
        <f t="shared" si="164"/>
        <v>1.0545806631349783</v>
      </c>
      <c r="F436" s="365">
        <f t="shared" si="165"/>
        <v>0.32313621646076762</v>
      </c>
      <c r="G436" s="364">
        <f t="shared" si="166"/>
        <v>1.6571765017458453</v>
      </c>
      <c r="H436" s="365">
        <f t="shared" si="167"/>
        <v>-0.92299323404980349</v>
      </c>
      <c r="I436" s="363">
        <f t="shared" si="168"/>
        <v>184237.52253661226</v>
      </c>
      <c r="J436" s="366">
        <f t="shared" si="169"/>
        <v>1.5707908990189134</v>
      </c>
      <c r="K436" s="374">
        <f t="shared" si="185"/>
        <v>57.012641185799566</v>
      </c>
      <c r="L436" s="375">
        <f t="shared" si="186"/>
        <v>1.553255457587829</v>
      </c>
      <c r="M436" s="363">
        <f t="shared" si="170"/>
        <v>2.0338538264694068</v>
      </c>
      <c r="N436" s="366">
        <f t="shared" si="171"/>
        <v>1.0567812727273107</v>
      </c>
      <c r="O436" s="367">
        <f t="shared" si="172"/>
        <v>1.2376795471711486</v>
      </c>
      <c r="P436" s="368">
        <f t="shared" si="173"/>
        <v>0.78701735607579681</v>
      </c>
      <c r="Q436" s="369">
        <f t="shared" si="174"/>
        <v>-19.314138333297915</v>
      </c>
      <c r="R436" s="370">
        <f t="shared" si="175"/>
        <v>-230.10181599641558</v>
      </c>
      <c r="S436" s="372">
        <f t="shared" si="176"/>
        <v>-50.101815996415581</v>
      </c>
      <c r="U436" s="345">
        <f t="shared" si="182"/>
        <v>44414</v>
      </c>
      <c r="V436" s="345">
        <f t="shared" si="183"/>
        <v>1972603396</v>
      </c>
      <c r="X436" s="371">
        <f t="shared" si="177"/>
        <v>11.742141110024916</v>
      </c>
      <c r="Y436" s="372">
        <f t="shared" si="178"/>
        <v>-61.553813651973975</v>
      </c>
      <c r="AA436" s="371">
        <f t="shared" si="179"/>
        <v>26.444945824511173</v>
      </c>
      <c r="AB436" s="372">
        <f t="shared" si="180"/>
        <v>-168.54800234444156</v>
      </c>
      <c r="AD436">
        <f t="shared" si="184"/>
        <v>0</v>
      </c>
      <c r="AE436">
        <f t="shared" si="187"/>
        <v>0</v>
      </c>
    </row>
    <row r="437" spans="1:31" x14ac:dyDescent="0.2">
      <c r="A437" s="373">
        <v>44668</v>
      </c>
      <c r="B437" s="390">
        <f t="shared" si="181"/>
        <v>44.667999999999999</v>
      </c>
      <c r="C437" s="363">
        <f t="shared" si="162"/>
        <v>63.044747759468187</v>
      </c>
      <c r="D437" s="364">
        <f t="shared" si="163"/>
        <v>1.5549339120370465</v>
      </c>
      <c r="E437" s="364">
        <f t="shared" si="164"/>
        <v>1.055190355253804</v>
      </c>
      <c r="F437" s="365">
        <f t="shared" si="165"/>
        <v>0.32485723055948335</v>
      </c>
      <c r="G437" s="364">
        <f t="shared" si="166"/>
        <v>1.6632090085233273</v>
      </c>
      <c r="H437" s="365">
        <f t="shared" si="167"/>
        <v>-0.92573512382567225</v>
      </c>
      <c r="I437" s="363">
        <f t="shared" si="168"/>
        <v>185291.16172071916</v>
      </c>
      <c r="J437" s="366">
        <f t="shared" si="169"/>
        <v>1.5707909298834049</v>
      </c>
      <c r="K437" s="374">
        <f t="shared" si="185"/>
        <v>57.338591750303848</v>
      </c>
      <c r="L437" s="375">
        <f t="shared" si="186"/>
        <v>1.5533551816569366</v>
      </c>
      <c r="M437" s="363">
        <f t="shared" si="170"/>
        <v>2.042679476381537</v>
      </c>
      <c r="N437" s="366">
        <f t="shared" si="171"/>
        <v>1.0592192025062221</v>
      </c>
      <c r="O437" s="367">
        <f t="shared" si="172"/>
        <v>1.2402161880831943</v>
      </c>
      <c r="P437" s="368">
        <f t="shared" si="173"/>
        <v>0.79069793643730502</v>
      </c>
      <c r="Q437" s="369">
        <f t="shared" si="174"/>
        <v>-19.382485311785604</v>
      </c>
      <c r="R437" s="370">
        <f t="shared" si="175"/>
        <v>-230.51035742816038</v>
      </c>
      <c r="S437" s="372">
        <f t="shared" si="176"/>
        <v>-50.510357428160376</v>
      </c>
      <c r="U437" s="345">
        <f t="shared" si="182"/>
        <v>44668</v>
      </c>
      <c r="V437" s="345">
        <f t="shared" si="183"/>
        <v>1995230224</v>
      </c>
      <c r="X437" s="371">
        <f t="shared" si="177"/>
        <v>11.704516187448204</v>
      </c>
      <c r="Y437" s="372">
        <f t="shared" si="178"/>
        <v>-61.687784739337289</v>
      </c>
      <c r="AA437" s="371">
        <f t="shared" si="179"/>
        <v>26.414223768600191</v>
      </c>
      <c r="AB437" s="372">
        <f t="shared" si="180"/>
        <v>-168.82257268882302</v>
      </c>
      <c r="AD437">
        <f t="shared" si="184"/>
        <v>0</v>
      </c>
      <c r="AE437">
        <f t="shared" si="187"/>
        <v>0</v>
      </c>
    </row>
    <row r="438" spans="1:31" x14ac:dyDescent="0.2">
      <c r="A438" s="373">
        <v>44928.25</v>
      </c>
      <c r="B438" s="390">
        <f t="shared" si="181"/>
        <v>44.928249999999998</v>
      </c>
      <c r="C438" s="363">
        <f t="shared" si="162"/>
        <v>63.411974399053797</v>
      </c>
      <c r="D438" s="364">
        <f t="shared" si="163"/>
        <v>1.5550257808945933</v>
      </c>
      <c r="E438" s="364">
        <f t="shared" si="164"/>
        <v>1.0558182875022766</v>
      </c>
      <c r="F438" s="365">
        <f t="shared" si="165"/>
        <v>0.32661852548416981</v>
      </c>
      <c r="G438" s="364">
        <f t="shared" si="166"/>
        <v>1.6694028272623007</v>
      </c>
      <c r="H438" s="365">
        <f t="shared" si="167"/>
        <v>-0.92852390638853799</v>
      </c>
      <c r="I438" s="363">
        <f t="shared" si="168"/>
        <v>186370.72706585252</v>
      </c>
      <c r="J438" s="366">
        <f t="shared" si="169"/>
        <v>1.5707909611453885</v>
      </c>
      <c r="K438" s="374">
        <f t="shared" si="185"/>
        <v>57.672563336604519</v>
      </c>
      <c r="L438" s="375">
        <f t="shared" si="186"/>
        <v>1.553456190388792</v>
      </c>
      <c r="M438" s="363">
        <f t="shared" si="170"/>
        <v>2.0517347756137956</v>
      </c>
      <c r="N438" s="366">
        <f t="shared" si="171"/>
        <v>1.0616953513369567</v>
      </c>
      <c r="O438" s="367">
        <f t="shared" si="172"/>
        <v>1.2428265986776137</v>
      </c>
      <c r="P438" s="368">
        <f t="shared" si="173"/>
        <v>0.79445836380937107</v>
      </c>
      <c r="Q438" s="369">
        <f t="shared" si="174"/>
        <v>-19.452176947531427</v>
      </c>
      <c r="R438" s="370">
        <f t="shared" si="175"/>
        <v>-230.92603574379365</v>
      </c>
      <c r="S438" s="372">
        <f t="shared" si="176"/>
        <v>-50.926035743793648</v>
      </c>
      <c r="U438" s="345">
        <f t="shared" si="182"/>
        <v>44928.25</v>
      </c>
      <c r="V438" s="345">
        <f t="shared" si="183"/>
        <v>2018547648.0625</v>
      </c>
      <c r="X438" s="371">
        <f t="shared" si="177"/>
        <v>11.666081045341556</v>
      </c>
      <c r="Y438" s="372">
        <f t="shared" si="178"/>
        <v>-61.823872034090577</v>
      </c>
      <c r="AA438" s="371">
        <f t="shared" si="179"/>
        <v>26.382967274961015</v>
      </c>
      <c r="AB438" s="372">
        <f t="shared" si="180"/>
        <v>-169.10216370970304</v>
      </c>
      <c r="AD438">
        <f t="shared" si="184"/>
        <v>0</v>
      </c>
      <c r="AE438">
        <f t="shared" si="187"/>
        <v>0</v>
      </c>
    </row>
    <row r="439" spans="1:31" x14ac:dyDescent="0.2">
      <c r="A439" s="373">
        <v>45188.5</v>
      </c>
      <c r="B439" s="390">
        <f t="shared" si="181"/>
        <v>45.188499999999998</v>
      </c>
      <c r="C439" s="363">
        <f t="shared" si="162"/>
        <v>63.779201567666284</v>
      </c>
      <c r="D439" s="364">
        <f t="shared" si="163"/>
        <v>1.5551165918299523</v>
      </c>
      <c r="E439" s="364">
        <f t="shared" si="164"/>
        <v>1.0564494911683213</v>
      </c>
      <c r="F439" s="365">
        <f t="shared" si="165"/>
        <v>0.32837772119634923</v>
      </c>
      <c r="G439" s="364">
        <f t="shared" si="166"/>
        <v>1.6756095334172849</v>
      </c>
      <c r="H439" s="365">
        <f t="shared" si="167"/>
        <v>-0.9312920502193095</v>
      </c>
      <c r="I439" s="363">
        <f t="shared" si="168"/>
        <v>187450.29241098603</v>
      </c>
      <c r="J439" s="366">
        <f t="shared" si="169"/>
        <v>1.5707909920472836</v>
      </c>
      <c r="K439" s="374">
        <f t="shared" si="185"/>
        <v>58.006535504549106</v>
      </c>
      <c r="L439" s="375">
        <f t="shared" si="186"/>
        <v>1.5535560360077116</v>
      </c>
      <c r="M439" s="363">
        <f t="shared" si="170"/>
        <v>2.060802544076306</v>
      </c>
      <c r="N439" s="366">
        <f t="shared" si="171"/>
        <v>1.0641497244262355</v>
      </c>
      <c r="O439" s="367">
        <f t="shared" si="172"/>
        <v>1.2454484588231185</v>
      </c>
      <c r="P439" s="368">
        <f t="shared" si="173"/>
        <v>0.79820795965439084</v>
      </c>
      <c r="Q439" s="369">
        <f t="shared" si="174"/>
        <v>-19.521530920227001</v>
      </c>
      <c r="R439" s="370">
        <f t="shared" si="175"/>
        <v>-231.33878957068472</v>
      </c>
      <c r="S439" s="372">
        <f t="shared" si="176"/>
        <v>-51.338789570684725</v>
      </c>
      <c r="U439" s="345">
        <f t="shared" si="182"/>
        <v>45188.5</v>
      </c>
      <c r="V439" s="345">
        <f t="shared" si="183"/>
        <v>2042000532.25</v>
      </c>
      <c r="X439" s="371">
        <f t="shared" si="177"/>
        <v>11.627762803214567</v>
      </c>
      <c r="Y439" s="372">
        <f t="shared" si="178"/>
        <v>-61.958778291592104</v>
      </c>
      <c r="AA439" s="371">
        <f t="shared" si="179"/>
        <v>26.351931544392432</v>
      </c>
      <c r="AB439" s="372">
        <f t="shared" si="180"/>
        <v>-169.38001127909266</v>
      </c>
      <c r="AD439">
        <f t="shared" si="184"/>
        <v>0</v>
      </c>
      <c r="AE439">
        <f t="shared" si="187"/>
        <v>0</v>
      </c>
    </row>
    <row r="440" spans="1:31" x14ac:dyDescent="0.2">
      <c r="A440" s="373">
        <v>45448.75</v>
      </c>
      <c r="B440" s="390">
        <f t="shared" si="181"/>
        <v>45.448749999999997</v>
      </c>
      <c r="C440" s="363">
        <f t="shared" si="162"/>
        <v>64.146429256219903</v>
      </c>
      <c r="D440" s="364">
        <f t="shared" si="163"/>
        <v>1.555206363010901</v>
      </c>
      <c r="E440" s="364">
        <f t="shared" si="164"/>
        <v>1.0570839603916735</v>
      </c>
      <c r="F440" s="365">
        <f t="shared" si="165"/>
        <v>0.33013481057762567</v>
      </c>
      <c r="G440" s="364">
        <f t="shared" si="166"/>
        <v>1.6818289843071836</v>
      </c>
      <c r="H440" s="365">
        <f t="shared" si="167"/>
        <v>-0.93403974162764558</v>
      </c>
      <c r="I440" s="363">
        <f t="shared" si="168"/>
        <v>188529.85775611975</v>
      </c>
      <c r="J440" s="366">
        <f t="shared" si="169"/>
        <v>1.5707910225952759</v>
      </c>
      <c r="K440" s="374">
        <f t="shared" si="185"/>
        <v>58.340508244148687</v>
      </c>
      <c r="L440" s="375">
        <f t="shared" si="186"/>
        <v>1.5536547384865573</v>
      </c>
      <c r="M440" s="363">
        <f t="shared" si="170"/>
        <v>2.069882617892981</v>
      </c>
      <c r="N440" s="366">
        <f t="shared" si="171"/>
        <v>1.0665825785831848</v>
      </c>
      <c r="O440" s="367">
        <f t="shared" si="172"/>
        <v>1.2480817276415841</v>
      </c>
      <c r="P440" s="368">
        <f t="shared" si="173"/>
        <v>0.8019467417757995</v>
      </c>
      <c r="Q440" s="369">
        <f t="shared" si="174"/>
        <v>-19.590550743200655</v>
      </c>
      <c r="R440" s="370">
        <f t="shared" si="175"/>
        <v>-231.74864562251645</v>
      </c>
      <c r="S440" s="372">
        <f t="shared" si="176"/>
        <v>-51.748645622516449</v>
      </c>
      <c r="U440" s="345">
        <f t="shared" si="182"/>
        <v>45448.75</v>
      </c>
      <c r="V440" s="345">
        <f t="shared" si="183"/>
        <v>2065588876.5625</v>
      </c>
      <c r="X440" s="371">
        <f t="shared" si="177"/>
        <v>11.589561349812957</v>
      </c>
      <c r="Y440" s="372">
        <f t="shared" si="178"/>
        <v>-62.092517081914686</v>
      </c>
      <c r="AA440" s="371">
        <f t="shared" si="179"/>
        <v>26.321113174820386</v>
      </c>
      <c r="AB440" s="372">
        <f t="shared" si="180"/>
        <v>-169.65612854060174</v>
      </c>
      <c r="AD440">
        <f t="shared" si="184"/>
        <v>0</v>
      </c>
      <c r="AE440">
        <f t="shared" si="187"/>
        <v>0</v>
      </c>
    </row>
    <row r="441" spans="1:31" x14ac:dyDescent="0.2">
      <c r="A441" s="373">
        <v>45709</v>
      </c>
      <c r="B441" s="390">
        <f t="shared" si="181"/>
        <v>45.709000000000003</v>
      </c>
      <c r="C441" s="363">
        <f t="shared" si="162"/>
        <v>64.513657455835741</v>
      </c>
      <c r="D441" s="364">
        <f t="shared" si="163"/>
        <v>1.5552951121916216</v>
      </c>
      <c r="E441" s="364">
        <f t="shared" si="164"/>
        <v>1.0577216892958468</v>
      </c>
      <c r="F441" s="365">
        <f t="shared" si="165"/>
        <v>0.33188978657866258</v>
      </c>
      <c r="G441" s="364">
        <f t="shared" si="166"/>
        <v>1.6880610390628326</v>
      </c>
      <c r="H441" s="365">
        <f t="shared" si="167"/>
        <v>-0.93676716541565197</v>
      </c>
      <c r="I441" s="363">
        <f t="shared" si="168"/>
        <v>189609.42310125366</v>
      </c>
      <c r="J441" s="366">
        <f t="shared" si="169"/>
        <v>1.5707910527954105</v>
      </c>
      <c r="K441" s="374">
        <f t="shared" si="185"/>
        <v>58.674481545641754</v>
      </c>
      <c r="L441" s="375">
        <f t="shared" si="186"/>
        <v>1.5537523173435408</v>
      </c>
      <c r="M441" s="363">
        <f t="shared" si="170"/>
        <v>2.0789748358302389</v>
      </c>
      <c r="N441" s="366">
        <f t="shared" si="171"/>
        <v>1.0689941671524719</v>
      </c>
      <c r="O441" s="367">
        <f t="shared" si="172"/>
        <v>1.2507263644664763</v>
      </c>
      <c r="P441" s="368">
        <f t="shared" si="173"/>
        <v>0.80567472844283172</v>
      </c>
      <c r="Q441" s="369">
        <f t="shared" si="174"/>
        <v>-19.659239872394071</v>
      </c>
      <c r="R441" s="370">
        <f t="shared" si="175"/>
        <v>-232.15563035317166</v>
      </c>
      <c r="S441" s="372">
        <f t="shared" si="176"/>
        <v>-52.155630353171659</v>
      </c>
      <c r="U441" s="345">
        <f t="shared" si="182"/>
        <v>45709</v>
      </c>
      <c r="V441" s="345">
        <f t="shared" si="183"/>
        <v>2089312681</v>
      </c>
      <c r="X441" s="371">
        <f t="shared" si="177"/>
        <v>11.551476559298548</v>
      </c>
      <c r="Y441" s="372">
        <f t="shared" si="178"/>
        <v>-62.225101802673706</v>
      </c>
      <c r="AA441" s="371">
        <f t="shared" si="179"/>
        <v>26.290508836141385</v>
      </c>
      <c r="AB441" s="372">
        <f t="shared" si="180"/>
        <v>-169.930528550498</v>
      </c>
      <c r="AD441">
        <f t="shared" si="184"/>
        <v>0</v>
      </c>
      <c r="AE441">
        <f t="shared" si="187"/>
        <v>0</v>
      </c>
    </row>
    <row r="442" spans="1:31" x14ac:dyDescent="0.2">
      <c r="A442" s="373">
        <v>45975.25</v>
      </c>
      <c r="B442" s="390">
        <f t="shared" si="181"/>
        <v>45.975250000000003</v>
      </c>
      <c r="C442" s="363">
        <f t="shared" si="162"/>
        <v>64.889352531462222</v>
      </c>
      <c r="D442" s="364">
        <f t="shared" si="163"/>
        <v>1.5553848679408</v>
      </c>
      <c r="E442" s="364">
        <f t="shared" si="164"/>
        <v>1.0583774880127466</v>
      </c>
      <c r="F442" s="365">
        <f t="shared" si="165"/>
        <v>0.33368302881575701</v>
      </c>
      <c r="G442" s="364">
        <f t="shared" si="166"/>
        <v>1.6944496703761953</v>
      </c>
      <c r="H442" s="365">
        <f t="shared" si="167"/>
        <v>-0.93953668651480482</v>
      </c>
      <c r="I442" s="363">
        <f t="shared" si="168"/>
        <v>190713.87756097293</v>
      </c>
      <c r="J442" s="366">
        <f t="shared" si="169"/>
        <v>1.5707910833379821</v>
      </c>
      <c r="K442" s="374">
        <f t="shared" si="185"/>
        <v>59.016155091318431</v>
      </c>
      <c r="L442" s="375">
        <f t="shared" si="186"/>
        <v>1.5538510029697659</v>
      </c>
      <c r="M442" s="363">
        <f t="shared" si="170"/>
        <v>2.0882890745288658</v>
      </c>
      <c r="N442" s="366">
        <f t="shared" si="171"/>
        <v>1.0714396082579933</v>
      </c>
      <c r="O442" s="367">
        <f t="shared" si="172"/>
        <v>1.2534436947194321</v>
      </c>
      <c r="P442" s="368">
        <f t="shared" si="173"/>
        <v>0.80947751080557329</v>
      </c>
      <c r="Q442" s="369">
        <f t="shared" si="174"/>
        <v>-19.72917393980034</v>
      </c>
      <c r="R442" s="370">
        <f t="shared" si="175"/>
        <v>-232.56905395194804</v>
      </c>
      <c r="S442" s="372">
        <f t="shared" si="176"/>
        <v>-52.569053951948035</v>
      </c>
      <c r="U442" s="345">
        <f t="shared" si="182"/>
        <v>45975.25</v>
      </c>
      <c r="V442" s="345">
        <f t="shared" si="183"/>
        <v>2113723612.5625</v>
      </c>
      <c r="X442" s="371">
        <f t="shared" si="177"/>
        <v>11.512634315659877</v>
      </c>
      <c r="Y442" s="372">
        <f t="shared" si="178"/>
        <v>-62.359562737300692</v>
      </c>
      <c r="AA442" s="371">
        <f t="shared" si="179"/>
        <v>26.259417012373781</v>
      </c>
      <c r="AB442" s="372">
        <f t="shared" si="180"/>
        <v>-170.20949121464739</v>
      </c>
      <c r="AD442">
        <f t="shared" si="184"/>
        <v>0</v>
      </c>
      <c r="AE442">
        <f t="shared" si="187"/>
        <v>0</v>
      </c>
    </row>
    <row r="443" spans="1:31" x14ac:dyDescent="0.2">
      <c r="A443" s="373">
        <v>46241.5</v>
      </c>
      <c r="B443" s="390">
        <f t="shared" si="181"/>
        <v>46.241500000000002</v>
      </c>
      <c r="C443" s="363">
        <f t="shared" si="162"/>
        <v>65.265048123825011</v>
      </c>
      <c r="D443" s="364">
        <f t="shared" si="163"/>
        <v>1.5554735903400543</v>
      </c>
      <c r="E443" s="364">
        <f t="shared" si="164"/>
        <v>1.0590366859514087</v>
      </c>
      <c r="F443" s="365">
        <f t="shared" si="165"/>
        <v>0.33547404439715706</v>
      </c>
      <c r="G443" s="364">
        <f t="shared" si="166"/>
        <v>1.7008512008434615</v>
      </c>
      <c r="H443" s="365">
        <f t="shared" si="167"/>
        <v>-0.94228538115221683</v>
      </c>
      <c r="I443" s="363">
        <f t="shared" si="168"/>
        <v>191818.33202069238</v>
      </c>
      <c r="J443" s="366">
        <f t="shared" si="169"/>
        <v>1.5707911135288366</v>
      </c>
      <c r="K443" s="374">
        <f t="shared" si="185"/>
        <v>59.357829205128048</v>
      </c>
      <c r="L443" s="375">
        <f t="shared" si="186"/>
        <v>1.5539485524932588</v>
      </c>
      <c r="M443" s="363">
        <f t="shared" si="170"/>
        <v>2.0976156906269416</v>
      </c>
      <c r="N443" s="366">
        <f t="shared" si="171"/>
        <v>1.0738633174502634</v>
      </c>
      <c r="O443" s="367">
        <f t="shared" si="172"/>
        <v>1.2561728377708861</v>
      </c>
      <c r="P443" s="368">
        <f t="shared" si="173"/>
        <v>0.81326903433747832</v>
      </c>
      <c r="Q443" s="369">
        <f t="shared" si="174"/>
        <v>-19.798769028380804</v>
      </c>
      <c r="R443" s="370">
        <f t="shared" si="175"/>
        <v>-232.97952749708588</v>
      </c>
      <c r="S443" s="372">
        <f t="shared" si="176"/>
        <v>-52.979527497085883</v>
      </c>
      <c r="U443" s="345">
        <f t="shared" si="182"/>
        <v>46241.5</v>
      </c>
      <c r="V443" s="345">
        <f t="shared" si="183"/>
        <v>2138276322.25</v>
      </c>
      <c r="X443" s="371">
        <f t="shared" si="177"/>
        <v>11.473913865304766</v>
      </c>
      <c r="Y443" s="372">
        <f t="shared" si="178"/>
        <v>-62.492843598755996</v>
      </c>
      <c r="AA443" s="371">
        <f t="shared" si="179"/>
        <v>26.228542374148432</v>
      </c>
      <c r="AB443" s="372">
        <f t="shared" si="180"/>
        <v>-170.48668389832989</v>
      </c>
      <c r="AD443">
        <f t="shared" si="184"/>
        <v>0</v>
      </c>
      <c r="AE443">
        <f t="shared" si="187"/>
        <v>0</v>
      </c>
    </row>
    <row r="444" spans="1:31" x14ac:dyDescent="0.2">
      <c r="A444" s="373">
        <v>46507.75</v>
      </c>
      <c r="B444" s="390">
        <f t="shared" si="181"/>
        <v>46.507750000000001</v>
      </c>
      <c r="C444" s="363">
        <f t="shared" si="162"/>
        <v>65.640744224051517</v>
      </c>
      <c r="D444" s="364">
        <f t="shared" si="163"/>
        <v>1.5555612971311723</v>
      </c>
      <c r="E444" s="364">
        <f t="shared" si="164"/>
        <v>1.0596992767682598</v>
      </c>
      <c r="F444" s="365">
        <f t="shared" si="165"/>
        <v>0.33726282599875274</v>
      </c>
      <c r="G444" s="364">
        <f t="shared" si="166"/>
        <v>1.707265485365365</v>
      </c>
      <c r="H444" s="365">
        <f t="shared" si="167"/>
        <v>-0.9450134422970895</v>
      </c>
      <c r="I444" s="363">
        <f t="shared" si="168"/>
        <v>192922.786480412</v>
      </c>
      <c r="J444" s="366">
        <f t="shared" si="169"/>
        <v>1.5707911433740149</v>
      </c>
      <c r="K444" s="374">
        <f t="shared" si="185"/>
        <v>59.699503877315927</v>
      </c>
      <c r="L444" s="375">
        <f t="shared" si="186"/>
        <v>1.5540449854187179</v>
      </c>
      <c r="M444" s="363">
        <f t="shared" si="170"/>
        <v>2.1069545197555897</v>
      </c>
      <c r="N444" s="366">
        <f t="shared" si="171"/>
        <v>1.0762655550359275</v>
      </c>
      <c r="O444" s="367">
        <f t="shared" si="172"/>
        <v>1.2589137507732127</v>
      </c>
      <c r="P444" s="368">
        <f t="shared" si="173"/>
        <v>0.81704932005119646</v>
      </c>
      <c r="Q444" s="369">
        <f t="shared" si="174"/>
        <v>-19.868028659885663</v>
      </c>
      <c r="R444" s="370">
        <f t="shared" si="175"/>
        <v>-233.38707848229379</v>
      </c>
      <c r="S444" s="372">
        <f t="shared" si="176"/>
        <v>-53.387078482293788</v>
      </c>
      <c r="U444" s="345">
        <f t="shared" si="182"/>
        <v>46507.75</v>
      </c>
      <c r="V444" s="345">
        <f t="shared" si="183"/>
        <v>2162970810.0625</v>
      </c>
      <c r="X444" s="371">
        <f t="shared" si="177"/>
        <v>11.435315029571441</v>
      </c>
      <c r="Y444" s="372">
        <f t="shared" si="178"/>
        <v>-62.624958184321059</v>
      </c>
      <c r="AA444" s="371">
        <f t="shared" si="179"/>
        <v>26.197881578376897</v>
      </c>
      <c r="AB444" s="372">
        <f t="shared" si="180"/>
        <v>-170.7621202979727</v>
      </c>
      <c r="AD444">
        <f t="shared" si="184"/>
        <v>0</v>
      </c>
      <c r="AE444">
        <f t="shared" si="187"/>
        <v>0</v>
      </c>
    </row>
    <row r="445" spans="1:31" x14ac:dyDescent="0.2">
      <c r="A445" s="373">
        <v>46774</v>
      </c>
      <c r="B445" s="390">
        <f t="shared" si="181"/>
        <v>46.774000000000001</v>
      </c>
      <c r="C445" s="363">
        <f t="shared" si="162"/>
        <v>66.016440823471015</v>
      </c>
      <c r="D445" s="364">
        <f t="shared" si="163"/>
        <v>1.5556480056521336</v>
      </c>
      <c r="E445" s="364">
        <f t="shared" si="164"/>
        <v>1.0603652541029724</v>
      </c>
      <c r="F445" s="365">
        <f t="shared" si="165"/>
        <v>0.33904936637187855</v>
      </c>
      <c r="G445" s="364">
        <f t="shared" si="166"/>
        <v>1.713692380728107</v>
      </c>
      <c r="H445" s="365">
        <f t="shared" si="167"/>
        <v>-0.94772106126096001</v>
      </c>
      <c r="I445" s="363">
        <f t="shared" si="168"/>
        <v>194027.24094013183</v>
      </c>
      <c r="J445" s="366">
        <f t="shared" si="169"/>
        <v>1.5707911728794197</v>
      </c>
      <c r="K445" s="374">
        <f t="shared" si="185"/>
        <v>60.041179098349431</v>
      </c>
      <c r="L445" s="375">
        <f t="shared" si="186"/>
        <v>1.5541403208069449</v>
      </c>
      <c r="M445" s="363">
        <f t="shared" si="170"/>
        <v>2.1163054002338906</v>
      </c>
      <c r="N445" s="366">
        <f t="shared" si="171"/>
        <v>1.0786465777212748</v>
      </c>
      <c r="O445" s="367">
        <f t="shared" si="172"/>
        <v>1.2616663911166954</v>
      </c>
      <c r="P445" s="368">
        <f t="shared" si="173"/>
        <v>0.8208183894273664</v>
      </c>
      <c r="Q445" s="369">
        <f t="shared" si="174"/>
        <v>-19.936956298293872</v>
      </c>
      <c r="R445" s="370">
        <f t="shared" si="175"/>
        <v>-233.79173412479798</v>
      </c>
      <c r="S445" s="372">
        <f t="shared" si="176"/>
        <v>-53.791734124797983</v>
      </c>
      <c r="U445" s="345">
        <f t="shared" si="182"/>
        <v>46774</v>
      </c>
      <c r="V445" s="345">
        <f t="shared" si="183"/>
        <v>2187807076</v>
      </c>
      <c r="X445" s="371">
        <f t="shared" si="177"/>
        <v>11.396837616107389</v>
      </c>
      <c r="Y445" s="372">
        <f t="shared" si="178"/>
        <v>-62.75592011041752</v>
      </c>
      <c r="AA445" s="371">
        <f t="shared" si="179"/>
        <v>26.16743135343274</v>
      </c>
      <c r="AB445" s="372">
        <f t="shared" si="180"/>
        <v>-171.03581401438043</v>
      </c>
      <c r="AD445">
        <f t="shared" si="184"/>
        <v>0</v>
      </c>
      <c r="AE445">
        <f t="shared" si="187"/>
        <v>0</v>
      </c>
    </row>
    <row r="446" spans="1:31" x14ac:dyDescent="0.2">
      <c r="A446" s="373">
        <v>47046.25</v>
      </c>
      <c r="B446" s="390">
        <f t="shared" si="181"/>
        <v>47.046250000000001</v>
      </c>
      <c r="C446" s="363">
        <f t="shared" si="162"/>
        <v>66.400604332497124</v>
      </c>
      <c r="D446" s="364">
        <f t="shared" si="163"/>
        <v>1.5557356535520366</v>
      </c>
      <c r="E446" s="364">
        <f t="shared" si="164"/>
        <v>1.0610497345855976</v>
      </c>
      <c r="F446" s="365">
        <f t="shared" si="165"/>
        <v>0.34087384177949576</v>
      </c>
      <c r="G446" s="364">
        <f t="shared" si="166"/>
        <v>1.720277000606439</v>
      </c>
      <c r="H446" s="365">
        <f t="shared" si="167"/>
        <v>-0.95046875619187632</v>
      </c>
      <c r="I446" s="363">
        <f t="shared" si="168"/>
        <v>195156.58451443701</v>
      </c>
      <c r="J446" s="366">
        <f t="shared" si="169"/>
        <v>1.5707912027044002</v>
      </c>
      <c r="K446" s="374">
        <f t="shared" si="185"/>
        <v>60.390554600506015</v>
      </c>
      <c r="L446" s="375">
        <f t="shared" si="186"/>
        <v>1.5542366890886716</v>
      </c>
      <c r="M446" s="363">
        <f t="shared" si="170"/>
        <v>2.1258793008791992</v>
      </c>
      <c r="N446" s="366">
        <f t="shared" si="171"/>
        <v>1.0810595835671561</v>
      </c>
      <c r="O446" s="367">
        <f t="shared" si="172"/>
        <v>1.2644931453868364</v>
      </c>
      <c r="P446" s="368">
        <f t="shared" si="173"/>
        <v>0.82466082010720365</v>
      </c>
      <c r="Q446" s="369">
        <f t="shared" si="174"/>
        <v>-20.007097485502317</v>
      </c>
      <c r="R446" s="370">
        <f t="shared" si="175"/>
        <v>-234.20254288722344</v>
      </c>
      <c r="S446" s="372">
        <f t="shared" si="176"/>
        <v>-54.202542887223444</v>
      </c>
      <c r="U446" s="345">
        <f t="shared" si="182"/>
        <v>47046.25</v>
      </c>
      <c r="V446" s="345">
        <f t="shared" si="183"/>
        <v>2213349639.0625</v>
      </c>
      <c r="X446" s="371">
        <f t="shared" si="177"/>
        <v>11.357618449338219</v>
      </c>
      <c r="Y446" s="372">
        <f t="shared" si="178"/>
        <v>-62.888655374502235</v>
      </c>
      <c r="AA446" s="371">
        <f t="shared" si="179"/>
        <v>26.136509332993466</v>
      </c>
      <c r="AB446" s="372">
        <f t="shared" si="180"/>
        <v>-171.31388751272118</v>
      </c>
      <c r="AD446">
        <f t="shared" si="184"/>
        <v>0</v>
      </c>
      <c r="AE446">
        <f t="shared" si="187"/>
        <v>0</v>
      </c>
    </row>
    <row r="447" spans="1:31" x14ac:dyDescent="0.2">
      <c r="A447" s="373">
        <v>47318.5</v>
      </c>
      <c r="B447" s="390">
        <f t="shared" si="181"/>
        <v>47.3185</v>
      </c>
      <c r="C447" s="363">
        <f t="shared" si="162"/>
        <v>66.784768345754472</v>
      </c>
      <c r="D447" s="364">
        <f t="shared" si="163"/>
        <v>1.5558222931038446</v>
      </c>
      <c r="E447" s="364">
        <f t="shared" si="164"/>
        <v>1.0617377424348544</v>
      </c>
      <c r="F447" s="365">
        <f t="shared" si="165"/>
        <v>0.34269595871959152</v>
      </c>
      <c r="G447" s="364">
        <f t="shared" si="166"/>
        <v>1.7268745091766828</v>
      </c>
      <c r="H447" s="365">
        <f t="shared" si="167"/>
        <v>-0.95319547649062542</v>
      </c>
      <c r="I447" s="363">
        <f t="shared" si="168"/>
        <v>196285.92808874242</v>
      </c>
      <c r="J447" s="366">
        <f t="shared" si="169"/>
        <v>1.570791232186181</v>
      </c>
      <c r="K447" s="374">
        <f t="shared" si="185"/>
        <v>60.73993065704849</v>
      </c>
      <c r="L447" s="375">
        <f t="shared" si="186"/>
        <v>1.5543319487506397</v>
      </c>
      <c r="M447" s="363">
        <f t="shared" si="170"/>
        <v>2.1354654686321219</v>
      </c>
      <c r="N447" s="366">
        <f t="shared" si="171"/>
        <v>1.0834509391235525</v>
      </c>
      <c r="O447" s="367">
        <f t="shared" si="172"/>
        <v>1.2673320721694885</v>
      </c>
      <c r="P447" s="368">
        <f t="shared" si="173"/>
        <v>0.82849157010663754</v>
      </c>
      <c r="Q447" s="369">
        <f t="shared" si="174"/>
        <v>-20.076898693593815</v>
      </c>
      <c r="R447" s="370">
        <f t="shared" si="175"/>
        <v>-234.61038102355812</v>
      </c>
      <c r="S447" s="372">
        <f t="shared" si="176"/>
        <v>-54.610381023558119</v>
      </c>
      <c r="U447" s="345">
        <f t="shared" si="182"/>
        <v>47318.5</v>
      </c>
      <c r="V447" s="345">
        <f t="shared" si="183"/>
        <v>2239040442.25</v>
      </c>
      <c r="X447" s="371">
        <f t="shared" si="177"/>
        <v>11.31852579075143</v>
      </c>
      <c r="Y447" s="372">
        <f t="shared" si="178"/>
        <v>-63.02021366794223</v>
      </c>
      <c r="AA447" s="371">
        <f t="shared" si="179"/>
        <v>26.105800783488753</v>
      </c>
      <c r="AB447" s="372">
        <f t="shared" si="180"/>
        <v>-171.5901673556159</v>
      </c>
      <c r="AD447">
        <f t="shared" si="184"/>
        <v>0</v>
      </c>
      <c r="AE447">
        <f t="shared" si="187"/>
        <v>0</v>
      </c>
    </row>
    <row r="448" spans="1:31" x14ac:dyDescent="0.2">
      <c r="A448" s="373">
        <v>47590.75</v>
      </c>
      <c r="B448" s="390">
        <f t="shared" si="181"/>
        <v>47.59075</v>
      </c>
      <c r="C448" s="363">
        <f t="shared" si="162"/>
        <v>67.168932854591375</v>
      </c>
      <c r="D448" s="364">
        <f t="shared" si="163"/>
        <v>1.5559079416076171</v>
      </c>
      <c r="E448" s="364">
        <f t="shared" si="164"/>
        <v>1.0624292707979872</v>
      </c>
      <c r="F448" s="365">
        <f t="shared" si="165"/>
        <v>0.34451570968658424</v>
      </c>
      <c r="G448" s="364">
        <f t="shared" si="166"/>
        <v>1.7334847592787594</v>
      </c>
      <c r="H448" s="365">
        <f t="shared" si="167"/>
        <v>-0.95590142132439448</v>
      </c>
      <c r="I448" s="363">
        <f t="shared" si="168"/>
        <v>197415.27166304796</v>
      </c>
      <c r="J448" s="366">
        <f t="shared" si="169"/>
        <v>1.5707912613306518</v>
      </c>
      <c r="K448" s="374">
        <f t="shared" si="185"/>
        <v>61.089307258465077</v>
      </c>
      <c r="L448" s="375">
        <f t="shared" si="186"/>
        <v>1.5544261188120676</v>
      </c>
      <c r="M448" s="363">
        <f t="shared" si="170"/>
        <v>2.1450637390296481</v>
      </c>
      <c r="N448" s="366">
        <f t="shared" si="171"/>
        <v>1.085820907483749</v>
      </c>
      <c r="O448" s="367">
        <f t="shared" si="172"/>
        <v>1.270183126689298</v>
      </c>
      <c r="P448" s="368">
        <f t="shared" si="173"/>
        <v>0.83231066384154995</v>
      </c>
      <c r="Q448" s="369">
        <f t="shared" si="174"/>
        <v>-20.146363446455297</v>
      </c>
      <c r="R448" s="370">
        <f t="shared" si="175"/>
        <v>-235.0152767501782</v>
      </c>
      <c r="S448" s="372">
        <f t="shared" si="176"/>
        <v>-55.015276750178202</v>
      </c>
      <c r="U448" s="345">
        <f t="shared" si="182"/>
        <v>47590.75</v>
      </c>
      <c r="V448" s="345">
        <f t="shared" si="183"/>
        <v>2264879485.5625</v>
      </c>
      <c r="X448" s="371">
        <f t="shared" si="177"/>
        <v>11.27955939371385</v>
      </c>
      <c r="Y448" s="372">
        <f t="shared" si="178"/>
        <v>-63.150608975488886</v>
      </c>
      <c r="AA448" s="371">
        <f t="shared" si="179"/>
        <v>26.075302427664852</v>
      </c>
      <c r="AB448" s="372">
        <f t="shared" si="180"/>
        <v>-171.86466777468934</v>
      </c>
      <c r="AD448">
        <f t="shared" si="184"/>
        <v>0</v>
      </c>
      <c r="AE448">
        <f t="shared" si="187"/>
        <v>0</v>
      </c>
    </row>
    <row r="449" spans="1:31" x14ac:dyDescent="0.2">
      <c r="A449" s="373">
        <v>47863</v>
      </c>
      <c r="B449" s="390">
        <f t="shared" si="181"/>
        <v>47.863</v>
      </c>
      <c r="C449" s="363">
        <f t="shared" si="162"/>
        <v>67.553097850553002</v>
      </c>
      <c r="D449" s="364">
        <f t="shared" si="163"/>
        <v>1.5559926159699402</v>
      </c>
      <c r="E449" s="364">
        <f t="shared" si="164"/>
        <v>1.0631243128050512</v>
      </c>
      <c r="F449" s="365">
        <f t="shared" si="165"/>
        <v>0.34633308725705009</v>
      </c>
      <c r="G449" s="364">
        <f t="shared" si="166"/>
        <v>1.7401076057066338</v>
      </c>
      <c r="H449" s="365">
        <f t="shared" si="167"/>
        <v>-0.95858678805398456</v>
      </c>
      <c r="I449" s="363">
        <f t="shared" si="168"/>
        <v>198544.61523735366</v>
      </c>
      <c r="J449" s="366">
        <f t="shared" si="169"/>
        <v>1.5707912901435686</v>
      </c>
      <c r="K449" s="374">
        <f t="shared" si="185"/>
        <v>61.438684395460371</v>
      </c>
      <c r="L449" s="375">
        <f t="shared" si="186"/>
        <v>1.5545192178596334</v>
      </c>
      <c r="M449" s="363">
        <f t="shared" si="170"/>
        <v>2.1546739503334535</v>
      </c>
      <c r="N449" s="366">
        <f t="shared" si="171"/>
        <v>1.0881697480171726</v>
      </c>
      <c r="O449" s="367">
        <f t="shared" si="172"/>
        <v>1.2730462644366716</v>
      </c>
      <c r="P449" s="368">
        <f t="shared" si="173"/>
        <v>0.83611812619398307</v>
      </c>
      <c r="Q449" s="369">
        <f t="shared" si="174"/>
        <v>-20.21549520997052</v>
      </c>
      <c r="R449" s="370">
        <f t="shared" si="175"/>
        <v>-235.41725799083267</v>
      </c>
      <c r="S449" s="372">
        <f t="shared" si="176"/>
        <v>-55.417257990832667</v>
      </c>
      <c r="U449" s="345">
        <f t="shared" si="182"/>
        <v>47863</v>
      </c>
      <c r="V449" s="345">
        <f t="shared" si="183"/>
        <v>2290866769</v>
      </c>
      <c r="X449" s="371">
        <f t="shared" si="177"/>
        <v>11.240718998878382</v>
      </c>
      <c r="Y449" s="372">
        <f t="shared" si="178"/>
        <v>-63.279855093307312</v>
      </c>
      <c r="AA449" s="371">
        <f t="shared" si="179"/>
        <v>26.0450110589851</v>
      </c>
      <c r="AB449" s="372">
        <f t="shared" si="180"/>
        <v>-172.13740289752536</v>
      </c>
      <c r="AD449">
        <f t="shared" si="184"/>
        <v>0</v>
      </c>
      <c r="AE449">
        <f t="shared" si="187"/>
        <v>0</v>
      </c>
    </row>
    <row r="450" spans="1:31" x14ac:dyDescent="0.2">
      <c r="A450" s="373">
        <v>48141.75</v>
      </c>
      <c r="B450" s="390">
        <f t="shared" si="181"/>
        <v>48.141750000000002</v>
      </c>
      <c r="C450" s="363">
        <f t="shared" si="162"/>
        <v>67.94643532596919</v>
      </c>
      <c r="D450" s="364">
        <f t="shared" si="163"/>
        <v>1.5560783198913308</v>
      </c>
      <c r="E450" s="364">
        <f t="shared" si="164"/>
        <v>1.0638395823058069</v>
      </c>
      <c r="F450" s="365">
        <f t="shared" si="165"/>
        <v>0.34819138818858453</v>
      </c>
      <c r="G450" s="364">
        <f t="shared" si="166"/>
        <v>1.746901474757151</v>
      </c>
      <c r="H450" s="365">
        <f t="shared" si="167"/>
        <v>-0.96131515151454949</v>
      </c>
      <c r="I450" s="363">
        <f t="shared" si="168"/>
        <v>199700.92201912691</v>
      </c>
      <c r="J450" s="366">
        <f t="shared" si="169"/>
        <v>1.5707913193067493</v>
      </c>
      <c r="K450" s="374">
        <f t="shared" si="185"/>
        <v>61.796403497129461</v>
      </c>
      <c r="L450" s="375">
        <f t="shared" si="186"/>
        <v>1.5546134489520254</v>
      </c>
      <c r="M450" s="363">
        <f t="shared" si="170"/>
        <v>2.1645258123784288</v>
      </c>
      <c r="N450" s="366">
        <f t="shared" si="171"/>
        <v>1.0905530439096078</v>
      </c>
      <c r="O450" s="367">
        <f t="shared" si="172"/>
        <v>1.2759902331277118</v>
      </c>
      <c r="P450" s="368">
        <f t="shared" si="173"/>
        <v>0.84000446736200207</v>
      </c>
      <c r="Q450" s="369">
        <f t="shared" si="174"/>
        <v>-20.285936052712511</v>
      </c>
      <c r="R450" s="370">
        <f t="shared" si="175"/>
        <v>-235.82584574478594</v>
      </c>
      <c r="S450" s="372">
        <f t="shared" si="176"/>
        <v>-55.825845744785937</v>
      </c>
      <c r="U450" s="345">
        <f t="shared" si="182"/>
        <v>48141.75</v>
      </c>
      <c r="V450" s="345">
        <f t="shared" si="183"/>
        <v>2317628093.0625</v>
      </c>
      <c r="X450" s="371">
        <f t="shared" si="177"/>
        <v>11.201081552097666</v>
      </c>
      <c r="Y450" s="372">
        <f t="shared" si="178"/>
        <v>-63.411010516458809</v>
      </c>
      <c r="AA450" s="371">
        <f t="shared" si="179"/>
        <v>26.014207663023825</v>
      </c>
      <c r="AB450" s="372">
        <f t="shared" si="180"/>
        <v>-172.41483522832712</v>
      </c>
      <c r="AD450">
        <f t="shared" si="184"/>
        <v>0</v>
      </c>
      <c r="AE450">
        <f t="shared" si="187"/>
        <v>0</v>
      </c>
    </row>
    <row r="451" spans="1:31" x14ac:dyDescent="0.2">
      <c r="A451" s="373">
        <v>48420.5</v>
      </c>
      <c r="B451" s="390">
        <f t="shared" si="181"/>
        <v>48.420499999999997</v>
      </c>
      <c r="C451" s="363">
        <f t="shared" si="162"/>
        <v>68.339773294717943</v>
      </c>
      <c r="D451" s="364">
        <f t="shared" si="163"/>
        <v>1.5561630372544211</v>
      </c>
      <c r="E451" s="364">
        <f t="shared" si="164"/>
        <v>1.0645585206009043</v>
      </c>
      <c r="F451" s="365">
        <f t="shared" si="165"/>
        <v>0.35004718555390529</v>
      </c>
      <c r="G451" s="364">
        <f t="shared" si="166"/>
        <v>1.7537082468745975</v>
      </c>
      <c r="H451" s="365">
        <f t="shared" si="167"/>
        <v>-0.96402235547867221</v>
      </c>
      <c r="I451" s="363">
        <f t="shared" si="168"/>
        <v>200857.22880090031</v>
      </c>
      <c r="J451" s="366">
        <f t="shared" si="169"/>
        <v>1.5707913481341536</v>
      </c>
      <c r="K451" s="374">
        <f t="shared" si="185"/>
        <v>62.15412314120347</v>
      </c>
      <c r="L451" s="375">
        <f t="shared" si="186"/>
        <v>1.5547065953766377</v>
      </c>
      <c r="M451" s="363">
        <f t="shared" si="170"/>
        <v>2.1743898576930638</v>
      </c>
      <c r="N451" s="366">
        <f t="shared" si="171"/>
        <v>1.0929147296346573</v>
      </c>
      <c r="O451" s="367">
        <f t="shared" si="172"/>
        <v>1.2789467753352297</v>
      </c>
      <c r="P451" s="368">
        <f t="shared" si="173"/>
        <v>0.84387866935685762</v>
      </c>
      <c r="Q451" s="369">
        <f t="shared" si="174"/>
        <v>-20.35603498837763</v>
      </c>
      <c r="R451" s="370">
        <f t="shared" si="175"/>
        <v>-236.2314364999165</v>
      </c>
      <c r="S451" s="372">
        <f t="shared" si="176"/>
        <v>-56.231436499916498</v>
      </c>
      <c r="U451" s="345">
        <f t="shared" si="182"/>
        <v>48420.5</v>
      </c>
      <c r="V451" s="345">
        <f t="shared" si="183"/>
        <v>2344544820.25</v>
      </c>
      <c r="X451" s="371">
        <f t="shared" si="177"/>
        <v>11.161575607138692</v>
      </c>
      <c r="Y451" s="372">
        <f t="shared" si="178"/>
        <v>-63.540989895870538</v>
      </c>
      <c r="AA451" s="371">
        <f t="shared" si="179"/>
        <v>25.983614672317671</v>
      </c>
      <c r="AB451" s="372">
        <f t="shared" si="180"/>
        <v>-172.69044660404592</v>
      </c>
      <c r="AD451">
        <f t="shared" si="184"/>
        <v>0</v>
      </c>
      <c r="AE451">
        <f t="shared" si="187"/>
        <v>0</v>
      </c>
    </row>
    <row r="452" spans="1:31" x14ac:dyDescent="0.2">
      <c r="A452" s="373">
        <v>48699.25</v>
      </c>
      <c r="B452" s="390">
        <f t="shared" si="181"/>
        <v>48.699249999999999</v>
      </c>
      <c r="C452" s="363">
        <f t="shared" si="162"/>
        <v>68.733111748329719</v>
      </c>
      <c r="D452" s="364">
        <f t="shared" si="163"/>
        <v>1.5562467849952932</v>
      </c>
      <c r="E452" s="364">
        <f t="shared" si="164"/>
        <v>1.0652811202623411</v>
      </c>
      <c r="F452" s="365">
        <f t="shared" si="165"/>
        <v>0.35190047165214755</v>
      </c>
      <c r="G452" s="364">
        <f t="shared" si="166"/>
        <v>1.7605277723966377</v>
      </c>
      <c r="H452" s="365">
        <f t="shared" si="167"/>
        <v>-0.96670860592156072</v>
      </c>
      <c r="I452" s="363">
        <f t="shared" si="168"/>
        <v>202013.53558267388</v>
      </c>
      <c r="J452" s="366">
        <f t="shared" si="169"/>
        <v>1.5707913766315469</v>
      </c>
      <c r="K452" s="374">
        <f t="shared" si="185"/>
        <v>62.511843318370779</v>
      </c>
      <c r="L452" s="375">
        <f t="shared" si="186"/>
        <v>1.5547986757526737</v>
      </c>
      <c r="M452" s="363">
        <f t="shared" si="170"/>
        <v>2.1842659212200934</v>
      </c>
      <c r="N452" s="366">
        <f t="shared" si="171"/>
        <v>1.095255071796035</v>
      </c>
      <c r="O452" s="367">
        <f t="shared" si="172"/>
        <v>1.2819158441588101</v>
      </c>
      <c r="P452" s="368">
        <f t="shared" si="173"/>
        <v>0.84774076033152423</v>
      </c>
      <c r="Q452" s="369">
        <f t="shared" si="174"/>
        <v>-20.425795555988348</v>
      </c>
      <c r="R452" s="370">
        <f t="shared" si="175"/>
        <v>-236.6340592911703</v>
      </c>
      <c r="S452" s="372">
        <f t="shared" si="176"/>
        <v>-56.634059291170303</v>
      </c>
      <c r="U452" s="345">
        <f t="shared" si="182"/>
        <v>48699.25</v>
      </c>
      <c r="V452" s="345">
        <f t="shared" si="183"/>
        <v>2371616950.5625</v>
      </c>
      <c r="X452" s="371">
        <f t="shared" si="177"/>
        <v>11.122200847586011</v>
      </c>
      <c r="Y452" s="372">
        <f t="shared" si="178"/>
        <v>-63.669807440338722</v>
      </c>
      <c r="AA452" s="371">
        <f t="shared" si="179"/>
        <v>25.953228864259643</v>
      </c>
      <c r="AB452" s="372">
        <f t="shared" si="180"/>
        <v>-172.9642518508316</v>
      </c>
      <c r="AD452">
        <f t="shared" si="184"/>
        <v>0</v>
      </c>
      <c r="AE452">
        <f t="shared" si="187"/>
        <v>0</v>
      </c>
    </row>
    <row r="453" spans="1:31" x14ac:dyDescent="0.2">
      <c r="A453" s="373">
        <v>48978</v>
      </c>
      <c r="B453" s="390">
        <f t="shared" si="181"/>
        <v>48.978000000000002</v>
      </c>
      <c r="C453" s="363">
        <f t="shared" si="162"/>
        <v>69.126450678527732</v>
      </c>
      <c r="D453" s="364">
        <f t="shared" si="163"/>
        <v>1.5563295796646104</v>
      </c>
      <c r="E453" s="364">
        <f t="shared" si="164"/>
        <v>1.0660073738444784</v>
      </c>
      <c r="F453" s="365">
        <f t="shared" si="165"/>
        <v>0.35375123887227644</v>
      </c>
      <c r="G453" s="364">
        <f t="shared" si="166"/>
        <v>1.7673599036926209</v>
      </c>
      <c r="H453" s="365">
        <f t="shared" si="167"/>
        <v>-0.96937410685197867</v>
      </c>
      <c r="I453" s="363">
        <f t="shared" si="168"/>
        <v>203169.8423644476</v>
      </c>
      <c r="J453" s="366">
        <f t="shared" si="169"/>
        <v>1.5707914048045639</v>
      </c>
      <c r="K453" s="374">
        <f t="shared" si="185"/>
        <v>62.869564019531666</v>
      </c>
      <c r="L453" s="375">
        <f t="shared" si="186"/>
        <v>1.5548897082756459</v>
      </c>
      <c r="M453" s="363">
        <f t="shared" si="170"/>
        <v>2.1941538406746921</v>
      </c>
      <c r="N453" s="366">
        <f t="shared" si="171"/>
        <v>1.0975743331356842</v>
      </c>
      <c r="O453" s="367">
        <f t="shared" si="172"/>
        <v>1.2848973929952081</v>
      </c>
      <c r="P453" s="368">
        <f t="shared" si="173"/>
        <v>0.85159076890232033</v>
      </c>
      <c r="Q453" s="369">
        <f t="shared" si="174"/>
        <v>-20.495221236067771</v>
      </c>
      <c r="R453" s="370">
        <f t="shared" si="175"/>
        <v>-237.03374284314748</v>
      </c>
      <c r="S453" s="372">
        <f t="shared" si="176"/>
        <v>-57.033742843147479</v>
      </c>
      <c r="U453" s="345">
        <f t="shared" si="182"/>
        <v>48978</v>
      </c>
      <c r="V453" s="345">
        <f t="shared" si="183"/>
        <v>2398844484</v>
      </c>
      <c r="X453" s="371">
        <f t="shared" si="177"/>
        <v>11.082956945276663</v>
      </c>
      <c r="Y453" s="372">
        <f t="shared" si="178"/>
        <v>-63.797477161664602</v>
      </c>
      <c r="AA453" s="371">
        <f t="shared" si="179"/>
        <v>25.923047086489568</v>
      </c>
      <c r="AB453" s="372">
        <f t="shared" si="180"/>
        <v>-173.23626568148291</v>
      </c>
      <c r="AD453">
        <f t="shared" si="184"/>
        <v>0</v>
      </c>
      <c r="AE453">
        <f t="shared" si="187"/>
        <v>0</v>
      </c>
    </row>
    <row r="454" spans="1:31" x14ac:dyDescent="0.2">
      <c r="A454" s="373">
        <v>49263.25</v>
      </c>
      <c r="B454" s="390">
        <f t="shared" si="181"/>
        <v>49.263249999999999</v>
      </c>
      <c r="C454" s="363">
        <f t="shared" si="162"/>
        <v>69.528962122538346</v>
      </c>
      <c r="D454" s="364">
        <f t="shared" si="163"/>
        <v>1.5564133351794365</v>
      </c>
      <c r="E454" s="364">
        <f t="shared" si="164"/>
        <v>1.0667543374209434</v>
      </c>
      <c r="F454" s="365">
        <f t="shared" si="165"/>
        <v>0.35564254748256935</v>
      </c>
      <c r="G454" s="364">
        <f t="shared" si="166"/>
        <v>1.774364247461006</v>
      </c>
      <c r="H454" s="365">
        <f t="shared" si="167"/>
        <v>-0.97208049282442388</v>
      </c>
      <c r="I454" s="363">
        <f t="shared" si="168"/>
        <v>204353.11235368886</v>
      </c>
      <c r="J454" s="366">
        <f t="shared" si="169"/>
        <v>1.5707914333044648</v>
      </c>
      <c r="K454" s="374">
        <f t="shared" si="185"/>
        <v>63.235626723143731</v>
      </c>
      <c r="L454" s="375">
        <f t="shared" si="186"/>
        <v>1.5549817972921129</v>
      </c>
      <c r="M454" s="363">
        <f t="shared" si="170"/>
        <v>2.2042844378329063</v>
      </c>
      <c r="N454" s="366">
        <f t="shared" si="171"/>
        <v>1.0999261221217902</v>
      </c>
      <c r="O454" s="367">
        <f t="shared" si="172"/>
        <v>1.2879613383556514</v>
      </c>
      <c r="P454" s="368">
        <f t="shared" si="173"/>
        <v>0.85551807548457981</v>
      </c>
      <c r="Q454" s="369">
        <f t="shared" si="174"/>
        <v>-20.56592268993824</v>
      </c>
      <c r="R454" s="370">
        <f t="shared" si="175"/>
        <v>-237.43973317011751</v>
      </c>
      <c r="S454" s="372">
        <f t="shared" si="176"/>
        <v>-57.439733170117506</v>
      </c>
      <c r="U454" s="345">
        <f t="shared" si="182"/>
        <v>49263.25</v>
      </c>
      <c r="V454" s="345">
        <f t="shared" si="183"/>
        <v>2426867800.5625</v>
      </c>
      <c r="X454" s="371">
        <f t="shared" si="177"/>
        <v>11.04293305425514</v>
      </c>
      <c r="Y454" s="372">
        <f t="shared" si="178"/>
        <v>-63.926950065962735</v>
      </c>
      <c r="AA454" s="371">
        <f t="shared" si="179"/>
        <v>25.892369523640625</v>
      </c>
      <c r="AB454" s="372">
        <f t="shared" si="180"/>
        <v>-173.51278310415472</v>
      </c>
      <c r="AD454">
        <f t="shared" si="184"/>
        <v>0</v>
      </c>
      <c r="AE454">
        <f t="shared" si="187"/>
        <v>0</v>
      </c>
    </row>
    <row r="455" spans="1:31" x14ac:dyDescent="0.2">
      <c r="A455" s="373">
        <v>49548.5</v>
      </c>
      <c r="B455" s="390">
        <f t="shared" si="181"/>
        <v>49.548499999999997</v>
      </c>
      <c r="C455" s="363">
        <f t="shared" si="162"/>
        <v>69.93147404867895</v>
      </c>
      <c r="D455" s="364">
        <f t="shared" si="163"/>
        <v>1.55649612653402</v>
      </c>
      <c r="E455" s="364">
        <f t="shared" si="164"/>
        <v>1.0675051114811076</v>
      </c>
      <c r="F455" s="365">
        <f t="shared" si="165"/>
        <v>0.35753120253417847</v>
      </c>
      <c r="G455" s="364">
        <f t="shared" si="166"/>
        <v>1.7813814853466696</v>
      </c>
      <c r="H455" s="365">
        <f t="shared" si="167"/>
        <v>-0.97476557628319005</v>
      </c>
      <c r="I455" s="363">
        <f t="shared" si="168"/>
        <v>205536.38234293033</v>
      </c>
      <c r="J455" s="366">
        <f t="shared" si="169"/>
        <v>1.5707914614762186</v>
      </c>
      <c r="K455" s="374">
        <f t="shared" si="185"/>
        <v>63.601689956845405</v>
      </c>
      <c r="L455" s="375">
        <f t="shared" si="186"/>
        <v>1.5550728262619409</v>
      </c>
      <c r="M455" s="363">
        <f t="shared" si="170"/>
        <v>2.2144271151044048</v>
      </c>
      <c r="N455" s="366">
        <f t="shared" si="171"/>
        <v>1.1022563802343399</v>
      </c>
      <c r="O455" s="367">
        <f t="shared" si="172"/>
        <v>1.2910382547580563</v>
      </c>
      <c r="P455" s="368">
        <f t="shared" si="173"/>
        <v>0.85943279167484155</v>
      </c>
      <c r="Q455" s="369">
        <f t="shared" si="174"/>
        <v>-20.636280648297994</v>
      </c>
      <c r="R455" s="370">
        <f t="shared" si="175"/>
        <v>-237.84270546124694</v>
      </c>
      <c r="S455" s="372">
        <f t="shared" si="176"/>
        <v>-57.842705461246936</v>
      </c>
      <c r="U455" s="345">
        <f t="shared" si="182"/>
        <v>49548.5</v>
      </c>
      <c r="V455" s="345">
        <f t="shared" si="183"/>
        <v>2455053852.25</v>
      </c>
      <c r="X455" s="371">
        <f t="shared" si="177"/>
        <v>11.003045463621017</v>
      </c>
      <c r="Y455" s="372">
        <f t="shared" si="178"/>
        <v>-64.055250059472584</v>
      </c>
      <c r="AA455" s="371">
        <f t="shared" si="179"/>
        <v>25.86189915591499</v>
      </c>
      <c r="AB455" s="372">
        <f t="shared" si="180"/>
        <v>-173.78745540177434</v>
      </c>
      <c r="AD455">
        <f t="shared" si="184"/>
        <v>0</v>
      </c>
      <c r="AE455">
        <f t="shared" si="187"/>
        <v>0</v>
      </c>
    </row>
    <row r="456" spans="1:31" x14ac:dyDescent="0.2">
      <c r="A456" s="373">
        <v>49833.75</v>
      </c>
      <c r="B456" s="390">
        <f t="shared" si="181"/>
        <v>49.833750000000002</v>
      </c>
      <c r="C456" s="363">
        <f t="shared" si="162"/>
        <v>70.33398644867205</v>
      </c>
      <c r="D456" s="364">
        <f t="shared" si="163"/>
        <v>1.5565779702805134</v>
      </c>
      <c r="E456" s="364">
        <f t="shared" si="164"/>
        <v>1.0682596879909343</v>
      </c>
      <c r="F456" s="365">
        <f t="shared" si="165"/>
        <v>0.35941719616238682</v>
      </c>
      <c r="G456" s="364">
        <f t="shared" si="166"/>
        <v>1.7884114655706396</v>
      </c>
      <c r="H456" s="365">
        <f t="shared" si="167"/>
        <v>-0.97742956949326698</v>
      </c>
      <c r="I456" s="363">
        <f t="shared" si="168"/>
        <v>206719.65233217189</v>
      </c>
      <c r="J456" s="366">
        <f t="shared" si="169"/>
        <v>1.5707914893254604</v>
      </c>
      <c r="K456" s="374">
        <f t="shared" si="185"/>
        <v>63.967753711536183</v>
      </c>
      <c r="L456" s="375">
        <f t="shared" si="186"/>
        <v>1.5551628133823705</v>
      </c>
      <c r="M456" s="363">
        <f t="shared" si="170"/>
        <v>2.2245817072563008</v>
      </c>
      <c r="N456" s="366">
        <f t="shared" si="171"/>
        <v>1.1045653768391532</v>
      </c>
      <c r="O456" s="367">
        <f t="shared" si="172"/>
        <v>1.2941280932357935</v>
      </c>
      <c r="P456" s="368">
        <f t="shared" si="173"/>
        <v>0.86333494956689227</v>
      </c>
      <c r="Q456" s="369">
        <f t="shared" si="174"/>
        <v>-20.706298658663247</v>
      </c>
      <c r="R456" s="370">
        <f t="shared" si="175"/>
        <v>-238.24268950746847</v>
      </c>
      <c r="S456" s="372">
        <f t="shared" si="176"/>
        <v>-58.242689507468469</v>
      </c>
      <c r="U456" s="345">
        <f t="shared" si="182"/>
        <v>49833.75</v>
      </c>
      <c r="V456" s="345">
        <f t="shared" si="183"/>
        <v>2483402639.0625</v>
      </c>
      <c r="X456" s="371">
        <f t="shared" si="177"/>
        <v>10.963293786832267</v>
      </c>
      <c r="Y456" s="372">
        <f t="shared" si="178"/>
        <v>-64.182391533416578</v>
      </c>
      <c r="AA456" s="371">
        <f t="shared" si="179"/>
        <v>25.831632822338484</v>
      </c>
      <c r="AB456" s="372">
        <f t="shared" si="180"/>
        <v>-174.06029797405191</v>
      </c>
      <c r="AD456">
        <f t="shared" si="184"/>
        <v>0</v>
      </c>
      <c r="AE456">
        <f t="shared" si="187"/>
        <v>0</v>
      </c>
    </row>
    <row r="457" spans="1:31" x14ac:dyDescent="0.2">
      <c r="A457" s="373">
        <v>50119</v>
      </c>
      <c r="B457" s="390">
        <f t="shared" si="181"/>
        <v>50.119</v>
      </c>
      <c r="C457" s="363">
        <f t="shared" si="162"/>
        <v>70.736499314428556</v>
      </c>
      <c r="D457" s="364">
        <f t="shared" si="163"/>
        <v>1.5566588825943719</v>
      </c>
      <c r="E457" s="364">
        <f t="shared" si="164"/>
        <v>1.0690180588984386</v>
      </c>
      <c r="F457" s="365">
        <f t="shared" si="165"/>
        <v>0.36130052060035911</v>
      </c>
      <c r="G457" s="364">
        <f t="shared" si="166"/>
        <v>1.7954540384576019</v>
      </c>
      <c r="H457" s="365">
        <f t="shared" si="167"/>
        <v>-0.98007268259570635</v>
      </c>
      <c r="I457" s="363">
        <f t="shared" si="168"/>
        <v>207902.92232141364</v>
      </c>
      <c r="J457" s="366">
        <f t="shared" si="169"/>
        <v>1.5707915168576969</v>
      </c>
      <c r="K457" s="374">
        <f t="shared" si="185"/>
        <v>64.333817978322685</v>
      </c>
      <c r="L457" s="375">
        <f t="shared" si="186"/>
        <v>1.5552517764365361</v>
      </c>
      <c r="M457" s="363">
        <f t="shared" si="170"/>
        <v>2.2347480518665983</v>
      </c>
      <c r="N457" s="366">
        <f t="shared" si="171"/>
        <v>1.1068533773159228</v>
      </c>
      <c r="O457" s="367">
        <f t="shared" si="172"/>
        <v>1.297230805152481</v>
      </c>
      <c r="P457" s="368">
        <f t="shared" si="173"/>
        <v>0.86722458171021644</v>
      </c>
      <c r="Q457" s="369">
        <f t="shared" si="174"/>
        <v>-20.775980209725819</v>
      </c>
      <c r="R457" s="370">
        <f t="shared" si="175"/>
        <v>-238.63971477227111</v>
      </c>
      <c r="S457" s="372">
        <f t="shared" si="176"/>
        <v>-58.639714772271105</v>
      </c>
      <c r="U457" s="345">
        <f t="shared" si="182"/>
        <v>50119</v>
      </c>
      <c r="V457" s="345">
        <f t="shared" si="183"/>
        <v>2511914161</v>
      </c>
      <c r="X457" s="371">
        <f t="shared" si="177"/>
        <v>10.923677626647727</v>
      </c>
      <c r="Y457" s="372">
        <f t="shared" si="178"/>
        <v>-64.308388674348024</v>
      </c>
      <c r="AA457" s="371">
        <f t="shared" si="179"/>
        <v>25.801567431460452</v>
      </c>
      <c r="AB457" s="372">
        <f t="shared" si="180"/>
        <v>-174.3313260979231</v>
      </c>
      <c r="AD457">
        <f t="shared" si="184"/>
        <v>0</v>
      </c>
      <c r="AE457">
        <f t="shared" si="187"/>
        <v>0</v>
      </c>
    </row>
    <row r="458" spans="1:31" x14ac:dyDescent="0.2">
      <c r="A458" s="373">
        <v>50410.75</v>
      </c>
      <c r="B458" s="390">
        <f t="shared" si="181"/>
        <v>50.41075</v>
      </c>
      <c r="C458" s="363">
        <f t="shared" si="162"/>
        <v>71.148184726063519</v>
      </c>
      <c r="D458" s="364">
        <f t="shared" si="163"/>
        <v>1.556740691624124</v>
      </c>
      <c r="E458" s="364">
        <f t="shared" si="164"/>
        <v>1.0697976274921053</v>
      </c>
      <c r="F458" s="365">
        <f t="shared" si="165"/>
        <v>0.36322399129624033</v>
      </c>
      <c r="G458" s="364">
        <f t="shared" si="166"/>
        <v>1.8026699631798544</v>
      </c>
      <c r="H458" s="365">
        <f t="shared" si="167"/>
        <v>-0.98275464198417484</v>
      </c>
      <c r="I458" s="363">
        <f t="shared" si="168"/>
        <v>209113.15551812295</v>
      </c>
      <c r="J458" s="366">
        <f t="shared" si="169"/>
        <v>1.5707915446949969</v>
      </c>
      <c r="K458" s="374">
        <f t="shared" si="185"/>
        <v>64.708224282817497</v>
      </c>
      <c r="L458" s="375">
        <f t="shared" si="186"/>
        <v>1.5553417254726787</v>
      </c>
      <c r="M458" s="363">
        <f t="shared" si="170"/>
        <v>2.2451580480771223</v>
      </c>
      <c r="N458" s="366">
        <f t="shared" si="171"/>
        <v>1.1091720677780625</v>
      </c>
      <c r="O458" s="367">
        <f t="shared" si="172"/>
        <v>1.3004174851112476</v>
      </c>
      <c r="P458" s="368">
        <f t="shared" si="173"/>
        <v>0.87118992426648156</v>
      </c>
      <c r="Q458" s="369">
        <f t="shared" si="174"/>
        <v>-20.846905125214331</v>
      </c>
      <c r="R458" s="370">
        <f t="shared" si="175"/>
        <v>-239.04275675084918</v>
      </c>
      <c r="S458" s="372">
        <f t="shared" si="176"/>
        <v>-59.042756750849179</v>
      </c>
      <c r="U458" s="345">
        <f t="shared" si="182"/>
        <v>50410.75</v>
      </c>
      <c r="V458" s="345">
        <f t="shared" si="183"/>
        <v>2541243715.5625</v>
      </c>
      <c r="X458" s="371">
        <f t="shared" si="177"/>
        <v>10.88329849096845</v>
      </c>
      <c r="Y458" s="372">
        <f t="shared" si="178"/>
        <v>-64.436087746789369</v>
      </c>
      <c r="AA458" s="371">
        <f t="shared" si="179"/>
        <v>25.771021651651221</v>
      </c>
      <c r="AB458" s="372">
        <f t="shared" si="180"/>
        <v>-174.6066690040598</v>
      </c>
      <c r="AD458">
        <f t="shared" si="184"/>
        <v>0</v>
      </c>
      <c r="AE458">
        <f t="shared" si="187"/>
        <v>0</v>
      </c>
    </row>
    <row r="459" spans="1:31" x14ac:dyDescent="0.2">
      <c r="A459" s="373">
        <v>50702.5</v>
      </c>
      <c r="B459" s="390">
        <f t="shared" si="181"/>
        <v>50.702500000000001</v>
      </c>
      <c r="C459" s="363">
        <f t="shared" si="162"/>
        <v>71.559870608394277</v>
      </c>
      <c r="D459" s="364">
        <f t="shared" si="163"/>
        <v>1.5568215593552648</v>
      </c>
      <c r="E459" s="364">
        <f t="shared" si="164"/>
        <v>1.070581148285616</v>
      </c>
      <c r="F459" s="365">
        <f t="shared" si="165"/>
        <v>0.36514465364794724</v>
      </c>
      <c r="G459" s="364">
        <f t="shared" si="166"/>
        <v>1.8098987508915068</v>
      </c>
      <c r="H459" s="365">
        <f t="shared" si="167"/>
        <v>-0.98541519673667533</v>
      </c>
      <c r="I459" s="363">
        <f t="shared" si="168"/>
        <v>210323.3887148324</v>
      </c>
      <c r="J459" s="366">
        <f t="shared" si="169"/>
        <v>1.570791572211937</v>
      </c>
      <c r="K459" s="374">
        <f t="shared" si="185"/>
        <v>65.082631104831847</v>
      </c>
      <c r="L459" s="375">
        <f t="shared" si="186"/>
        <v>1.555430639593391</v>
      </c>
      <c r="M459" s="363">
        <f t="shared" si="170"/>
        <v>2.25558000353251</v>
      </c>
      <c r="N459" s="366">
        <f t="shared" si="171"/>
        <v>1.111469343378868</v>
      </c>
      <c r="O459" s="367">
        <f t="shared" si="172"/>
        <v>1.303617530033875</v>
      </c>
      <c r="P459" s="368">
        <f t="shared" si="173"/>
        <v>0.87514223400054036</v>
      </c>
      <c r="Q459" s="369">
        <f t="shared" si="174"/>
        <v>-20.917485272071477</v>
      </c>
      <c r="R459" s="370">
        <f t="shared" si="175"/>
        <v>-239.44276487900186</v>
      </c>
      <c r="S459" s="372">
        <f t="shared" si="176"/>
        <v>-59.442764879001857</v>
      </c>
      <c r="U459" s="345">
        <f t="shared" si="182"/>
        <v>50702.5</v>
      </c>
      <c r="V459" s="345">
        <f t="shared" si="183"/>
        <v>2570743506.25</v>
      </c>
      <c r="X459" s="371">
        <f t="shared" si="177"/>
        <v>10.843060245627598</v>
      </c>
      <c r="Y459" s="372">
        <f t="shared" si="178"/>
        <v>-64.56261911598709</v>
      </c>
      <c r="AA459" s="371">
        <f t="shared" si="179"/>
        <v>25.740679750134923</v>
      </c>
      <c r="AB459" s="372">
        <f t="shared" si="180"/>
        <v>-174.88014576301478</v>
      </c>
      <c r="AD459">
        <f t="shared" si="184"/>
        <v>0</v>
      </c>
      <c r="AE459">
        <f t="shared" si="187"/>
        <v>0</v>
      </c>
    </row>
    <row r="460" spans="1:31" x14ac:dyDescent="0.2">
      <c r="A460" s="373">
        <v>50994.25</v>
      </c>
      <c r="B460" s="390">
        <f t="shared" si="181"/>
        <v>50.994250000000001</v>
      </c>
      <c r="C460" s="363">
        <f t="shared" si="162"/>
        <v>71.971556953343537</v>
      </c>
      <c r="D460" s="364">
        <f t="shared" si="163"/>
        <v>1.5569015019397661</v>
      </c>
      <c r="E460" s="364">
        <f t="shared" si="164"/>
        <v>1.0713686126079192</v>
      </c>
      <c r="F460" s="365">
        <f t="shared" si="165"/>
        <v>0.36706249966208959</v>
      </c>
      <c r="G460" s="364">
        <f t="shared" si="166"/>
        <v>1.8171402480813224</v>
      </c>
      <c r="H460" s="365">
        <f t="shared" si="167"/>
        <v>-0.98805456486086674</v>
      </c>
      <c r="I460" s="363">
        <f t="shared" si="168"/>
        <v>211533.62191154202</v>
      </c>
      <c r="J460" s="366">
        <f t="shared" si="169"/>
        <v>1.5707915994140151</v>
      </c>
      <c r="K460" s="374">
        <f t="shared" si="185"/>
        <v>65.457038435485245</v>
      </c>
      <c r="L460" s="375">
        <f t="shared" si="186"/>
        <v>1.5555185365560753</v>
      </c>
      <c r="M460" s="363">
        <f t="shared" si="170"/>
        <v>2.2660137532222278</v>
      </c>
      <c r="N460" s="366">
        <f t="shared" si="171"/>
        <v>1.1137454755132568</v>
      </c>
      <c r="O460" s="367">
        <f t="shared" si="172"/>
        <v>1.3068308889604596</v>
      </c>
      <c r="P460" s="368">
        <f t="shared" si="173"/>
        <v>0.87908154713406705</v>
      </c>
      <c r="Q460" s="369">
        <f t="shared" si="174"/>
        <v>-20.987724200138743</v>
      </c>
      <c r="R460" s="370">
        <f t="shared" si="175"/>
        <v>-239.83976963909856</v>
      </c>
      <c r="S460" s="372">
        <f t="shared" si="176"/>
        <v>-59.839769639098563</v>
      </c>
      <c r="U460" s="345">
        <f t="shared" si="182"/>
        <v>50994.25</v>
      </c>
      <c r="V460" s="345">
        <f t="shared" si="183"/>
        <v>2600413533.0625</v>
      </c>
      <c r="X460" s="371">
        <f t="shared" si="177"/>
        <v>10.802962434112898</v>
      </c>
      <c r="Y460" s="372">
        <f t="shared" si="178"/>
        <v>-64.687997314615373</v>
      </c>
      <c r="AA460" s="371">
        <f t="shared" si="179"/>
        <v>25.710538633582367</v>
      </c>
      <c r="AB460" s="372">
        <f t="shared" si="180"/>
        <v>-175.1517723244832</v>
      </c>
      <c r="AD460">
        <f t="shared" si="184"/>
        <v>0</v>
      </c>
      <c r="AE460">
        <f t="shared" si="187"/>
        <v>0</v>
      </c>
    </row>
    <row r="461" spans="1:31" x14ac:dyDescent="0.2">
      <c r="A461" s="373">
        <v>51286</v>
      </c>
      <c r="B461" s="390">
        <f t="shared" si="181"/>
        <v>51.286000000000001</v>
      </c>
      <c r="C461" s="363">
        <f t="shared" ref="C461:C524" si="188">SQRT(1+(A461/pole1)^2)</f>
        <v>72.383243753017751</v>
      </c>
      <c r="D461" s="364">
        <f t="shared" ref="D461:D524" si="189">ATAN(A461/pole1)</f>
        <v>1.5569805351621844</v>
      </c>
      <c r="E461" s="364">
        <f t="shared" ref="E461:E524" si="190">SQRT(1+(A461/Zero1)^2)</f>
        <v>1.07216001176986</v>
      </c>
      <c r="F461" s="365">
        <f t="shared" ref="F461:F524" si="191">ATAN(A461/Zero1)</f>
        <v>0.3689775214515722</v>
      </c>
      <c r="G461" s="364">
        <f t="shared" ref="G461:G524" si="192">IF(VIN_nom&gt;Vout, 1, SQRT(1+(A461/z_RHP)^2))</f>
        <v>1.8243943034075984</v>
      </c>
      <c r="H461" s="365">
        <f t="shared" ref="H461:H524" si="193">IF(VIN_nom&gt;Vout, 0, -ATAN(A461/z_RHP))</f>
        <v>-0.99067296208695377</v>
      </c>
      <c r="I461" s="363">
        <f t="shared" ref="I461:I524" si="194">SQRT(1+(A461/Pole2)^2)</f>
        <v>212743.8551082518</v>
      </c>
      <c r="J461" s="366">
        <f t="shared" ref="J461:J524" si="195">ATAN(A461/Pole2)</f>
        <v>1.5707916263066053</v>
      </c>
      <c r="K461" s="374">
        <f t="shared" si="185"/>
        <v>65.831446266099263</v>
      </c>
      <c r="L461" s="375">
        <f t="shared" si="186"/>
        <v>1.5556054337142258</v>
      </c>
      <c r="M461" s="363">
        <f t="shared" ref="M461:M524" si="196">SQRT(1+(A461/pole4)^2)</f>
        <v>2.2764591349758909</v>
      </c>
      <c r="N461" s="366">
        <f t="shared" ref="N461:N524" si="197">ATAN(A461/pole4)</f>
        <v>1.1160007314798153</v>
      </c>
      <c r="O461" s="367">
        <f t="shared" ref="O461:O524" si="198">SQRT((1-(V461/pterm2))^2+(A461/pterm1)^2)</f>
        <v>1.3100575112959458</v>
      </c>
      <c r="P461" s="368">
        <f t="shared" ref="P461:P524" si="199">IF((ATAN((A461/pterm1)/(1-A461^2/pterm2))&gt;0),ATAN((A461/pterm1)/(1-A461^2/pterm2)),PI()+ATAN((A461/pterm1)/(1-A461^2/pterm2)))</f>
        <v>0.88300790033172294</v>
      </c>
      <c r="Q461" s="369">
        <f t="shared" ref="Q461:Q524" si="200">20*LOG10(((E461*K461*G461)/(C461*I461*O461*M461))*Adc)</f>
        <v>-21.057625400275452</v>
      </c>
      <c r="R461" s="370">
        <f t="shared" ref="R461:R524" si="201">((F461+L461+H461)-(D461+J461+P461+N461))*radconv</f>
        <v>-240.23380116969238</v>
      </c>
      <c r="S461" s="372">
        <f t="shared" ref="S461:S524" si="202">IF(R461&gt;0,R461,R461+180)</f>
        <v>-60.233801169692384</v>
      </c>
      <c r="U461" s="345">
        <f t="shared" si="182"/>
        <v>51286</v>
      </c>
      <c r="V461" s="345">
        <f t="shared" si="183"/>
        <v>2630253796</v>
      </c>
      <c r="X461" s="371">
        <f t="shared" ref="X461:X524" si="203">20*LOG10((K461/(I461*M461))*AEA)</f>
        <v>10.763004590330601</v>
      </c>
      <c r="Y461" s="372">
        <f t="shared" ref="Y461:Y524" si="204">(L461-(J461+N461))*radconv</f>
        <v>-64.812236663781036</v>
      </c>
      <c r="AA461" s="371">
        <f t="shared" ref="AA461:AA524" si="205">20*LOG10((E461*G461/(C461*O461))*Acs*Am)</f>
        <v>25.680595277227951</v>
      </c>
      <c r="AB461" s="372">
        <f t="shared" ref="AB461:AB524" si="206">(F461+H461-(D461+P461))*radconv</f>
        <v>-175.42156450591131</v>
      </c>
      <c r="AD461">
        <f t="shared" si="184"/>
        <v>0</v>
      </c>
      <c r="AE461">
        <f t="shared" si="187"/>
        <v>0</v>
      </c>
    </row>
    <row r="462" spans="1:31" x14ac:dyDescent="0.2">
      <c r="A462" s="373">
        <v>51584.75</v>
      </c>
      <c r="B462" s="390">
        <f t="shared" ref="B462:B525" si="207">A462/1000</f>
        <v>51.58475</v>
      </c>
      <c r="C462" s="363">
        <f t="shared" si="188"/>
        <v>72.804808676858784</v>
      </c>
      <c r="D462" s="364">
        <f t="shared" si="189"/>
        <v>1.5570605384015148</v>
      </c>
      <c r="E462" s="364">
        <f t="shared" si="190"/>
        <v>1.0729744675774824</v>
      </c>
      <c r="F462" s="365">
        <f t="shared" si="191"/>
        <v>0.37093555582842974</v>
      </c>
      <c r="G462" s="364">
        <f t="shared" si="192"/>
        <v>1.8318352642079874</v>
      </c>
      <c r="H462" s="365">
        <f t="shared" si="193"/>
        <v>-0.99333267419096516</v>
      </c>
      <c r="I462" s="363">
        <f t="shared" si="194"/>
        <v>213983.12560531122</v>
      </c>
      <c r="J462" s="366">
        <f t="shared" si="195"/>
        <v>1.5707916535292026</v>
      </c>
      <c r="K462" s="374">
        <f t="shared" si="185"/>
        <v>66.214837827252381</v>
      </c>
      <c r="L462" s="375">
        <f t="shared" si="186"/>
        <v>1.5556933974479552</v>
      </c>
      <c r="M462" s="363">
        <f t="shared" si="196"/>
        <v>2.2871670218606948</v>
      </c>
      <c r="N462" s="366">
        <f t="shared" si="197"/>
        <v>1.1182887396002983</v>
      </c>
      <c r="O462" s="367">
        <f t="shared" si="198"/>
        <v>1.3133752425555529</v>
      </c>
      <c r="P462" s="368">
        <f t="shared" si="199"/>
        <v>0.88701506774940209</v>
      </c>
      <c r="Q462" s="369">
        <f t="shared" si="200"/>
        <v>-21.128857355957358</v>
      </c>
      <c r="R462" s="370">
        <f t="shared" si="201"/>
        <v>-240.6342367891329</v>
      </c>
      <c r="S462" s="372">
        <f t="shared" si="202"/>
        <v>-60.634236789132899</v>
      </c>
      <c r="U462" s="345">
        <f t="shared" ref="U462:U525" si="208">IF(Q462&lt;0,A462,1000000000)</f>
        <v>51584.75</v>
      </c>
      <c r="V462" s="345">
        <f t="shared" ref="V462:V525" si="209">A462^2</f>
        <v>2660986432.5625</v>
      </c>
      <c r="X462" s="371">
        <f t="shared" si="203"/>
        <v>10.722232581220146</v>
      </c>
      <c r="Y462" s="372">
        <f t="shared" si="204"/>
        <v>-64.93829148176745</v>
      </c>
      <c r="AA462" s="371">
        <f t="shared" si="205"/>
        <v>25.650135330656497</v>
      </c>
      <c r="AB462" s="372">
        <f t="shared" si="206"/>
        <v>-175.69594530736546</v>
      </c>
      <c r="AD462">
        <f t="shared" ref="AD462:AD525" si="210">SUM((Q463&lt;0)*(Q462&gt;0))*A462</f>
        <v>0</v>
      </c>
      <c r="AE462">
        <f t="shared" si="187"/>
        <v>0</v>
      </c>
    </row>
    <row r="463" spans="1:31" x14ac:dyDescent="0.2">
      <c r="A463" s="373">
        <v>51883.5</v>
      </c>
      <c r="B463" s="390">
        <f t="shared" si="207"/>
        <v>51.883499999999998</v>
      </c>
      <c r="C463" s="363">
        <f t="shared" si="188"/>
        <v>73.226374061322943</v>
      </c>
      <c r="D463" s="364">
        <f t="shared" si="189"/>
        <v>1.5571396204815384</v>
      </c>
      <c r="E463" s="364">
        <f t="shared" si="190"/>
        <v>1.0737930308109229</v>
      </c>
      <c r="F463" s="365">
        <f t="shared" si="191"/>
        <v>0.37289061243265731</v>
      </c>
      <c r="G463" s="364">
        <f t="shared" si="192"/>
        <v>1.839289078634152</v>
      </c>
      <c r="H463" s="365">
        <f t="shared" si="193"/>
        <v>-0.99597084758923393</v>
      </c>
      <c r="I463" s="363">
        <f t="shared" si="194"/>
        <v>215222.39610237081</v>
      </c>
      <c r="J463" s="366">
        <f t="shared" si="195"/>
        <v>1.5707916804382993</v>
      </c>
      <c r="K463" s="374">
        <f t="shared" si="185"/>
        <v>66.598229894851727</v>
      </c>
      <c r="L463" s="375">
        <f t="shared" si="186"/>
        <v>1.5557803484047501</v>
      </c>
      <c r="M463" s="363">
        <f t="shared" si="196"/>
        <v>2.2978867703972328</v>
      </c>
      <c r="N463" s="366">
        <f t="shared" si="197"/>
        <v>1.120555412166377</v>
      </c>
      <c r="O463" s="367">
        <f t="shared" si="198"/>
        <v>1.3167067751192592</v>
      </c>
      <c r="P463" s="368">
        <f t="shared" si="199"/>
        <v>0.89100872504894935</v>
      </c>
      <c r="Q463" s="369">
        <f t="shared" si="200"/>
        <v>-21.199742407535396</v>
      </c>
      <c r="R463" s="370">
        <f t="shared" si="201"/>
        <v>-241.0316176668093</v>
      </c>
      <c r="S463" s="372">
        <f t="shared" si="202"/>
        <v>-61.031617666809296</v>
      </c>
      <c r="U463" s="345">
        <f t="shared" si="208"/>
        <v>51883.5</v>
      </c>
      <c r="V463" s="345">
        <f t="shared" si="209"/>
        <v>2691897572.25</v>
      </c>
      <c r="X463" s="371">
        <f t="shared" si="203"/>
        <v>10.681606319083388</v>
      </c>
      <c r="Y463" s="372">
        <f t="shared" si="204"/>
        <v>-65.063181872413253</v>
      </c>
      <c r="AA463" s="371">
        <f t="shared" si="205"/>
        <v>25.619876541215216</v>
      </c>
      <c r="AB463" s="372">
        <f t="shared" si="206"/>
        <v>-175.96843579439604</v>
      </c>
      <c r="AD463">
        <f t="shared" si="210"/>
        <v>0</v>
      </c>
      <c r="AE463">
        <f t="shared" si="187"/>
        <v>0</v>
      </c>
    </row>
    <row r="464" spans="1:31" x14ac:dyDescent="0.2">
      <c r="A464" s="373">
        <v>52182.25</v>
      </c>
      <c r="B464" s="390">
        <f t="shared" si="207"/>
        <v>52.182250000000003</v>
      </c>
      <c r="C464" s="363">
        <f t="shared" si="188"/>
        <v>73.647939898500283</v>
      </c>
      <c r="D464" s="364">
        <f t="shared" si="189"/>
        <v>1.5572177972195935</v>
      </c>
      <c r="E464" s="364">
        <f t="shared" si="190"/>
        <v>1.0746156920839769</v>
      </c>
      <c r="F464" s="365">
        <f t="shared" si="191"/>
        <v>0.37484268314070557</v>
      </c>
      <c r="G464" s="364">
        <f t="shared" si="192"/>
        <v>1.8467555910479492</v>
      </c>
      <c r="H464" s="365">
        <f t="shared" si="193"/>
        <v>-0.99858770658089135</v>
      </c>
      <c r="I464" s="363">
        <f t="shared" si="194"/>
        <v>216461.66659943055</v>
      </c>
      <c r="J464" s="366">
        <f t="shared" si="195"/>
        <v>1.5707917070392803</v>
      </c>
      <c r="K464" s="374">
        <f t="shared" si="185"/>
        <v>66.981622460200839</v>
      </c>
      <c r="L464" s="375">
        <f t="shared" si="186"/>
        <v>1.5558663039742253</v>
      </c>
      <c r="M464" s="363">
        <f t="shared" si="196"/>
        <v>2.3086182153517054</v>
      </c>
      <c r="N464" s="366">
        <f t="shared" si="197"/>
        <v>1.122801023253521</v>
      </c>
      <c r="O464" s="367">
        <f t="shared" si="198"/>
        <v>1.3200520558554083</v>
      </c>
      <c r="P464" s="368">
        <f t="shared" si="199"/>
        <v>0.89498891295331662</v>
      </c>
      <c r="Q464" s="369">
        <f t="shared" si="200"/>
        <v>-21.270284119225131</v>
      </c>
      <c r="R464" s="370">
        <f t="shared" si="201"/>
        <v>-241.4259750664049</v>
      </c>
      <c r="S464" s="372">
        <f t="shared" si="202"/>
        <v>-61.425975066404902</v>
      </c>
      <c r="U464" s="345">
        <f t="shared" si="208"/>
        <v>52182.25</v>
      </c>
      <c r="V464" s="345">
        <f t="shared" si="209"/>
        <v>2722987215.0625</v>
      </c>
      <c r="X464" s="371">
        <f t="shared" si="203"/>
        <v>10.6411252753919</v>
      </c>
      <c r="Y464" s="372">
        <f t="shared" si="204"/>
        <v>-65.186922543043138</v>
      </c>
      <c r="AA464" s="371">
        <f t="shared" si="205"/>
        <v>25.589815873216967</v>
      </c>
      <c r="AB464" s="372">
        <f t="shared" si="206"/>
        <v>-176.23905252336175</v>
      </c>
      <c r="AD464">
        <f t="shared" si="210"/>
        <v>0</v>
      </c>
      <c r="AE464">
        <f t="shared" si="187"/>
        <v>0</v>
      </c>
    </row>
    <row r="465" spans="1:31" x14ac:dyDescent="0.2">
      <c r="A465" s="373">
        <v>52481</v>
      </c>
      <c r="B465" s="390">
        <f t="shared" si="207"/>
        <v>52.481000000000002</v>
      </c>
      <c r="C465" s="363">
        <f t="shared" si="188"/>
        <v>74.069506180661008</v>
      </c>
      <c r="D465" s="364">
        <f t="shared" si="189"/>
        <v>1.5572950840729665</v>
      </c>
      <c r="E465" s="364">
        <f t="shared" si="190"/>
        <v>1.0754424419922399</v>
      </c>
      <c r="F465" s="365">
        <f t="shared" si="191"/>
        <v>0.37679175994484299</v>
      </c>
      <c r="G465" s="364">
        <f t="shared" si="192"/>
        <v>1.8542346480550735</v>
      </c>
      <c r="H465" s="365">
        <f t="shared" si="193"/>
        <v>-1.0011834730231433</v>
      </c>
      <c r="I465" s="363">
        <f t="shared" si="194"/>
        <v>217700.93709649044</v>
      </c>
      <c r="J465" s="366">
        <f t="shared" si="195"/>
        <v>1.5707917333374071</v>
      </c>
      <c r="K465" s="374">
        <f t="shared" si="185"/>
        <v>67.365015514801257</v>
      </c>
      <c r="L465" s="375">
        <f t="shared" si="186"/>
        <v>1.5559512811501783</v>
      </c>
      <c r="M465" s="363">
        <f t="shared" si="196"/>
        <v>2.3193611943697618</v>
      </c>
      <c r="N465" s="366">
        <f t="shared" si="197"/>
        <v>1.1250258427172575</v>
      </c>
      <c r="O465" s="367">
        <f t="shared" si="198"/>
        <v>1.3234110320358448</v>
      </c>
      <c r="P465" s="368">
        <f t="shared" si="199"/>
        <v>0.89895567261329445</v>
      </c>
      <c r="Q465" s="369">
        <f t="shared" si="200"/>
        <v>-21.340485995871816</v>
      </c>
      <c r="R465" s="370">
        <f t="shared" si="201"/>
        <v>-241.81733988982583</v>
      </c>
      <c r="S465" s="372">
        <f t="shared" si="202"/>
        <v>-61.817339889825831</v>
      </c>
      <c r="U465" s="345">
        <f t="shared" si="208"/>
        <v>52481</v>
      </c>
      <c r="V465" s="345">
        <f t="shared" si="209"/>
        <v>2754255361</v>
      </c>
      <c r="X465" s="371">
        <f t="shared" si="203"/>
        <v>10.600788913154917</v>
      </c>
      <c r="Y465" s="372">
        <f t="shared" si="204"/>
        <v>-65.309527981868513</v>
      </c>
      <c r="AA465" s="371">
        <f t="shared" si="205"/>
        <v>25.559950358807267</v>
      </c>
      <c r="AB465" s="372">
        <f t="shared" si="206"/>
        <v>-176.50781190795726</v>
      </c>
      <c r="AD465">
        <f t="shared" si="210"/>
        <v>0</v>
      </c>
      <c r="AE465">
        <f t="shared" si="187"/>
        <v>0</v>
      </c>
    </row>
    <row r="466" spans="1:31" x14ac:dyDescent="0.2">
      <c r="A466" s="373">
        <v>52786.5</v>
      </c>
      <c r="B466" s="390">
        <f t="shared" si="207"/>
        <v>52.786499999999997</v>
      </c>
      <c r="C466" s="363">
        <f t="shared" si="188"/>
        <v>74.500597843679927</v>
      </c>
      <c r="D466" s="364">
        <f t="shared" si="189"/>
        <v>1.5573732126243423</v>
      </c>
      <c r="E466" s="364">
        <f t="shared" si="190"/>
        <v>1.0762920900357771</v>
      </c>
      <c r="F466" s="365">
        <f t="shared" si="191"/>
        <v>0.3787817701099529</v>
      </c>
      <c r="G466" s="364">
        <f t="shared" si="192"/>
        <v>1.8618955033748095</v>
      </c>
      <c r="H466" s="365">
        <f t="shared" si="193"/>
        <v>-1.0038163044162645</v>
      </c>
      <c r="I466" s="363">
        <f t="shared" si="194"/>
        <v>218968.20784745895</v>
      </c>
      <c r="J466" s="366">
        <f t="shared" si="195"/>
        <v>1.5707917599218797</v>
      </c>
      <c r="K466" s="374">
        <f t="shared" si="185"/>
        <v>67.757071503922745</v>
      </c>
      <c r="L466" s="375">
        <f t="shared" si="186"/>
        <v>1.5560371838138076</v>
      </c>
      <c r="M466" s="363">
        <f t="shared" si="196"/>
        <v>2.3303586634882718</v>
      </c>
      <c r="N466" s="366">
        <f t="shared" si="197"/>
        <v>1.1272797053078782</v>
      </c>
      <c r="O466" s="367">
        <f t="shared" si="198"/>
        <v>1.3268600099810599</v>
      </c>
      <c r="P466" s="368">
        <f t="shared" si="199"/>
        <v>0.90299821434348737</v>
      </c>
      <c r="Q466" s="369">
        <f t="shared" si="200"/>
        <v>-21.411926175479245</v>
      </c>
      <c r="R466" s="370">
        <f t="shared" si="201"/>
        <v>-242.2144843266731</v>
      </c>
      <c r="S466" s="372">
        <f t="shared" si="202"/>
        <v>-62.214484326673102</v>
      </c>
      <c r="U466" s="345">
        <f t="shared" si="208"/>
        <v>52786.5</v>
      </c>
      <c r="V466" s="345">
        <f t="shared" si="209"/>
        <v>2786414582.25</v>
      </c>
      <c r="X466" s="371">
        <f t="shared" si="203"/>
        <v>10.559690239351811</v>
      </c>
      <c r="Y466" s="372">
        <f t="shared" si="204"/>
        <v>-65.433744459158646</v>
      </c>
      <c r="AA466" s="371">
        <f t="shared" si="205"/>
        <v>25.529608853002941</v>
      </c>
      <c r="AB466" s="372">
        <f t="shared" si="206"/>
        <v>-176.78073986751443</v>
      </c>
      <c r="AD466">
        <f t="shared" si="210"/>
        <v>0</v>
      </c>
      <c r="AE466">
        <f t="shared" si="187"/>
        <v>0</v>
      </c>
    </row>
    <row r="467" spans="1:31" x14ac:dyDescent="0.2">
      <c r="A467" s="373">
        <v>53092</v>
      </c>
      <c r="B467" s="390">
        <f t="shared" si="207"/>
        <v>53.091999999999999</v>
      </c>
      <c r="C467" s="363">
        <f t="shared" si="188"/>
        <v>74.931689956223224</v>
      </c>
      <c r="D467" s="364">
        <f t="shared" si="189"/>
        <v>1.5574504422080102</v>
      </c>
      <c r="E467" s="364">
        <f t="shared" si="190"/>
        <v>1.0771459936132104</v>
      </c>
      <c r="F467" s="365">
        <f t="shared" si="191"/>
        <v>0.38076863298627645</v>
      </c>
      <c r="G467" s="364">
        <f t="shared" si="192"/>
        <v>1.8695691591608632</v>
      </c>
      <c r="H467" s="365">
        <f t="shared" si="193"/>
        <v>-1.0064275408476899</v>
      </c>
      <c r="I467" s="363">
        <f t="shared" si="194"/>
        <v>220235.47859842764</v>
      </c>
      <c r="J467" s="366">
        <f t="shared" si="195"/>
        <v>1.5707917862004095</v>
      </c>
      <c r="K467" s="374">
        <f t="shared" si="185"/>
        <v>68.149127987288907</v>
      </c>
      <c r="L467" s="375">
        <f t="shared" si="186"/>
        <v>1.5561220980957493</v>
      </c>
      <c r="M467" s="363">
        <f t="shared" si="196"/>
        <v>2.3413678593462484</v>
      </c>
      <c r="N467" s="366">
        <f t="shared" si="197"/>
        <v>1.129512383665725</v>
      </c>
      <c r="O467" s="367">
        <f t="shared" si="198"/>
        <v>1.3303231990071755</v>
      </c>
      <c r="P467" s="368">
        <f t="shared" si="199"/>
        <v>0.90702680251731937</v>
      </c>
      <c r="Q467" s="369">
        <f t="shared" si="200"/>
        <v>-21.483018218372205</v>
      </c>
      <c r="R467" s="370">
        <f t="shared" si="201"/>
        <v>-242.60856364821296</v>
      </c>
      <c r="S467" s="372">
        <f t="shared" si="202"/>
        <v>-62.608563648212964</v>
      </c>
      <c r="U467" s="345">
        <f t="shared" si="208"/>
        <v>53092</v>
      </c>
      <c r="V467" s="345">
        <f t="shared" si="209"/>
        <v>2818760464</v>
      </c>
      <c r="X467" s="371">
        <f t="shared" si="203"/>
        <v>10.518741697971855</v>
      </c>
      <c r="Y467" s="372">
        <f t="shared" si="204"/>
        <v>-65.556803781887297</v>
      </c>
      <c r="AA467" s="371">
        <f t="shared" si="205"/>
        <v>25.499465351489942</v>
      </c>
      <c r="AB467" s="372">
        <f t="shared" si="206"/>
        <v>-177.05175986632563</v>
      </c>
      <c r="AD467">
        <f t="shared" si="210"/>
        <v>0</v>
      </c>
      <c r="AE467">
        <f t="shared" si="187"/>
        <v>0</v>
      </c>
    </row>
    <row r="468" spans="1:31" x14ac:dyDescent="0.2">
      <c r="A468" s="373">
        <v>53397.5</v>
      </c>
      <c r="B468" s="390">
        <f t="shared" si="207"/>
        <v>53.397500000000001</v>
      </c>
      <c r="C468" s="363">
        <f t="shared" si="188"/>
        <v>75.362782510576707</v>
      </c>
      <c r="D468" s="364">
        <f t="shared" si="189"/>
        <v>1.5575267882499515</v>
      </c>
      <c r="E468" s="364">
        <f t="shared" si="190"/>
        <v>1.0780041426119189</v>
      </c>
      <c r="F468" s="365">
        <f t="shared" si="191"/>
        <v>0.38275234038477124</v>
      </c>
      <c r="G468" s="364">
        <f t="shared" si="192"/>
        <v>1.8772554584398708</v>
      </c>
      <c r="H468" s="365">
        <f t="shared" si="193"/>
        <v>-1.0090174117456632</v>
      </c>
      <c r="I468" s="363">
        <f t="shared" si="194"/>
        <v>221502.74934939641</v>
      </c>
      <c r="J468" s="366">
        <f t="shared" si="195"/>
        <v>1.5707918121782476</v>
      </c>
      <c r="K468" s="374">
        <f t="shared" si="185"/>
        <v>68.541184956418491</v>
      </c>
      <c r="L468" s="375">
        <f t="shared" si="186"/>
        <v>1.5562060409554579</v>
      </c>
      <c r="M468" s="363">
        <f t="shared" si="196"/>
        <v>2.3523886173000199</v>
      </c>
      <c r="N468" s="366">
        <f t="shared" si="197"/>
        <v>1.1317241531136573</v>
      </c>
      <c r="O468" s="367">
        <f t="shared" si="198"/>
        <v>1.3338005440416851</v>
      </c>
      <c r="P468" s="368">
        <f t="shared" si="199"/>
        <v>0.9110414824328692</v>
      </c>
      <c r="Q468" s="369">
        <f t="shared" si="200"/>
        <v>-21.553765688131872</v>
      </c>
      <c r="R468" s="370">
        <f t="shared" si="201"/>
        <v>-242.99960975157887</v>
      </c>
      <c r="S468" s="372">
        <f t="shared" si="202"/>
        <v>-62.999609751578873</v>
      </c>
      <c r="U468" s="345">
        <f t="shared" si="208"/>
        <v>53397.5</v>
      </c>
      <c r="V468" s="345">
        <f t="shared" si="209"/>
        <v>2851293006.25</v>
      </c>
      <c r="X468" s="371">
        <f t="shared" si="203"/>
        <v>10.477942690395462</v>
      </c>
      <c r="Y468" s="372">
        <f t="shared" si="204"/>
        <v>-65.678720753488037</v>
      </c>
      <c r="AA468" s="371">
        <f t="shared" si="205"/>
        <v>25.469516889306668</v>
      </c>
      <c r="AB468" s="372">
        <f t="shared" si="206"/>
        <v>-177.32088899809088</v>
      </c>
      <c r="AD468">
        <f t="shared" si="210"/>
        <v>0</v>
      </c>
      <c r="AE468">
        <f t="shared" si="187"/>
        <v>0</v>
      </c>
    </row>
    <row r="469" spans="1:31" x14ac:dyDescent="0.2">
      <c r="A469" s="373">
        <v>53703</v>
      </c>
      <c r="B469" s="390">
        <f t="shared" si="207"/>
        <v>53.703000000000003</v>
      </c>
      <c r="C469" s="363">
        <f t="shared" si="188"/>
        <v>75.793875499201775</v>
      </c>
      <c r="D469" s="364">
        <f t="shared" si="189"/>
        <v>1.5576022658252349</v>
      </c>
      <c r="E469" s="364">
        <f t="shared" si="190"/>
        <v>1.0788665269012594</v>
      </c>
      <c r="F469" s="365">
        <f t="shared" si="191"/>
        <v>0.38473288424172136</v>
      </c>
      <c r="G469" s="364">
        <f t="shared" si="192"/>
        <v>1.884954246542295</v>
      </c>
      <c r="H469" s="365">
        <f t="shared" si="193"/>
        <v>-1.0115861439458966</v>
      </c>
      <c r="I469" s="363">
        <f t="shared" si="194"/>
        <v>222770.02010036539</v>
      </c>
      <c r="J469" s="366">
        <f t="shared" si="195"/>
        <v>1.5707918378605259</v>
      </c>
      <c r="K469" s="374">
        <f t="shared" si="185"/>
        <v>68.933242403023158</v>
      </c>
      <c r="L469" s="375">
        <f t="shared" si="186"/>
        <v>1.5562890289666167</v>
      </c>
      <c r="M469" s="363">
        <f t="shared" si="196"/>
        <v>2.3634207756055718</v>
      </c>
      <c r="N469" s="366">
        <f t="shared" si="197"/>
        <v>1.1339152846602261</v>
      </c>
      <c r="O469" s="367">
        <f t="shared" si="198"/>
        <v>1.3372919904543388</v>
      </c>
      <c r="P469" s="368">
        <f t="shared" si="199"/>
        <v>0.91504229979372442</v>
      </c>
      <c r="Q469" s="369">
        <f t="shared" si="200"/>
        <v>-21.624172088953703</v>
      </c>
      <c r="R469" s="370">
        <f t="shared" si="201"/>
        <v>-243.38765415621549</v>
      </c>
      <c r="S469" s="372">
        <f t="shared" si="202"/>
        <v>-63.38765415621549</v>
      </c>
      <c r="U469" s="345">
        <f t="shared" si="208"/>
        <v>53703</v>
      </c>
      <c r="V469" s="345">
        <f t="shared" si="209"/>
        <v>2884012209</v>
      </c>
      <c r="X469" s="371">
        <f t="shared" si="203"/>
        <v>10.43729261074763</v>
      </c>
      <c r="Y469" s="372">
        <f t="shared" si="204"/>
        <v>-65.799509952298962</v>
      </c>
      <c r="AA469" s="371">
        <f t="shared" si="205"/>
        <v>25.43976056813267</v>
      </c>
      <c r="AB469" s="372">
        <f t="shared" si="206"/>
        <v>-177.5881442039165</v>
      </c>
      <c r="AD469">
        <f t="shared" si="210"/>
        <v>0</v>
      </c>
      <c r="AE469">
        <f t="shared" si="187"/>
        <v>0</v>
      </c>
    </row>
    <row r="470" spans="1:31" x14ac:dyDescent="0.2">
      <c r="A470" s="373">
        <v>54015.75</v>
      </c>
      <c r="B470" s="390">
        <f t="shared" si="207"/>
        <v>54.015749999999997</v>
      </c>
      <c r="C470" s="363">
        <f t="shared" si="188"/>
        <v>76.235199450994443</v>
      </c>
      <c r="D470" s="364">
        <f t="shared" si="189"/>
        <v>1.5576786503582469</v>
      </c>
      <c r="E470" s="364">
        <f t="shared" si="190"/>
        <v>1.0797537535918267</v>
      </c>
      <c r="F470" s="365">
        <f t="shared" si="191"/>
        <v>0.38675714421459834</v>
      </c>
      <c r="G470" s="364">
        <f t="shared" si="192"/>
        <v>1.8928485169130664</v>
      </c>
      <c r="H470" s="365">
        <f t="shared" si="193"/>
        <v>-1.0141941732387869</v>
      </c>
      <c r="I470" s="363">
        <f t="shared" si="194"/>
        <v>224067.36519812513</v>
      </c>
      <c r="J470" s="366">
        <f t="shared" si="195"/>
        <v>1.5707918638513567</v>
      </c>
      <c r="K470" s="374">
        <f t="shared" si="185"/>
        <v>69.334604481400703</v>
      </c>
      <c r="L470" s="375">
        <f t="shared" si="186"/>
        <v>1.556373014217975</v>
      </c>
      <c r="M470" s="363">
        <f t="shared" si="196"/>
        <v>2.3747263880367195</v>
      </c>
      <c r="N470" s="366">
        <f t="shared" si="197"/>
        <v>1.1361373153675585</v>
      </c>
      <c r="O470" s="367">
        <f t="shared" si="198"/>
        <v>1.3408808451809171</v>
      </c>
      <c r="P470" s="368">
        <f t="shared" si="199"/>
        <v>0.919123751100966</v>
      </c>
      <c r="Q470" s="369">
        <f t="shared" si="200"/>
        <v>-21.695899636949726</v>
      </c>
      <c r="R470" s="370">
        <f t="shared" si="201"/>
        <v>-243.78183059066603</v>
      </c>
      <c r="S470" s="372">
        <f t="shared" si="202"/>
        <v>-63.781830590666033</v>
      </c>
      <c r="U470" s="345">
        <f t="shared" si="208"/>
        <v>54015.75</v>
      </c>
      <c r="V470" s="345">
        <f t="shared" si="209"/>
        <v>2917701248.0625</v>
      </c>
      <c r="X470" s="371">
        <f t="shared" si="203"/>
        <v>10.395831471771356</v>
      </c>
      <c r="Y470" s="372">
        <f t="shared" si="204"/>
        <v>-65.922012422638289</v>
      </c>
      <c r="AA470" s="371">
        <f t="shared" si="205"/>
        <v>25.409494159112924</v>
      </c>
      <c r="AB470" s="372">
        <f t="shared" si="206"/>
        <v>-177.85981816802769</v>
      </c>
      <c r="AD470">
        <f t="shared" si="210"/>
        <v>0</v>
      </c>
      <c r="AE470">
        <f t="shared" si="187"/>
        <v>0</v>
      </c>
    </row>
    <row r="471" spans="1:31" x14ac:dyDescent="0.2">
      <c r="A471" s="373">
        <v>54328.5</v>
      </c>
      <c r="B471" s="390">
        <f t="shared" si="207"/>
        <v>54.328499999999998</v>
      </c>
      <c r="C471" s="363">
        <f t="shared" si="188"/>
        <v>76.676523842468512</v>
      </c>
      <c r="D471" s="364">
        <f t="shared" si="189"/>
        <v>1.5577541556041152</v>
      </c>
      <c r="E471" s="364">
        <f t="shared" si="190"/>
        <v>1.0806453974364638</v>
      </c>
      <c r="F471" s="365">
        <f t="shared" si="191"/>
        <v>0.38877807201085557</v>
      </c>
      <c r="G471" s="364">
        <f t="shared" si="192"/>
        <v>1.9007555550978066</v>
      </c>
      <c r="H471" s="365">
        <f t="shared" si="193"/>
        <v>-1.0167805214860839</v>
      </c>
      <c r="I471" s="363">
        <f t="shared" si="194"/>
        <v>225364.71029588496</v>
      </c>
      <c r="J471" s="366">
        <f t="shared" si="195"/>
        <v>1.5707918895429476</v>
      </c>
      <c r="K471" s="374">
        <f t="shared" ref="K471:K534" si="211">SQRT(1+(A471/Zero2)^2)</f>
        <v>69.735967043201995</v>
      </c>
      <c r="L471" s="375">
        <f t="shared" ref="L471:L534" si="212">ATAN(A471/Zero2)</f>
        <v>1.5564560327224208</v>
      </c>
      <c r="M471" s="363">
        <f t="shared" si="196"/>
        <v>2.3860436143453483</v>
      </c>
      <c r="N471" s="366">
        <f t="shared" si="197"/>
        <v>1.1383382782605287</v>
      </c>
      <c r="O471" s="367">
        <f t="shared" si="198"/>
        <v>1.3444843640769004</v>
      </c>
      <c r="P471" s="368">
        <f t="shared" si="199"/>
        <v>0.92319077225626489</v>
      </c>
      <c r="Q471" s="369">
        <f t="shared" si="200"/>
        <v>-21.767276982787841</v>
      </c>
      <c r="R471" s="370">
        <f t="shared" si="201"/>
        <v>-244.17292682264181</v>
      </c>
      <c r="S471" s="372">
        <f t="shared" si="202"/>
        <v>-64.172926822641813</v>
      </c>
      <c r="U471" s="345">
        <f t="shared" si="208"/>
        <v>54328.5</v>
      </c>
      <c r="V471" s="345">
        <f t="shared" si="209"/>
        <v>2951585912.25</v>
      </c>
      <c r="X471" s="371">
        <f t="shared" si="203"/>
        <v>10.354525106839976</v>
      </c>
      <c r="Y471" s="372">
        <f t="shared" si="204"/>
        <v>-66.043363169502555</v>
      </c>
      <c r="AA471" s="371">
        <f t="shared" si="205"/>
        <v>25.379423178206189</v>
      </c>
      <c r="AB471" s="372">
        <f t="shared" si="206"/>
        <v>-178.12956365313929</v>
      </c>
      <c r="AD471">
        <f t="shared" si="210"/>
        <v>0</v>
      </c>
      <c r="AE471">
        <f t="shared" si="187"/>
        <v>0</v>
      </c>
    </row>
    <row r="472" spans="1:31" x14ac:dyDescent="0.2">
      <c r="A472" s="373">
        <v>54641.25</v>
      </c>
      <c r="B472" s="390">
        <f t="shared" si="207"/>
        <v>54.641249999999999</v>
      </c>
      <c r="C472" s="363">
        <f t="shared" si="188"/>
        <v>77.11784866607546</v>
      </c>
      <c r="D472" s="364">
        <f t="shared" si="189"/>
        <v>1.5578287966577471</v>
      </c>
      <c r="E472" s="364">
        <f t="shared" si="190"/>
        <v>1.0815414475104068</v>
      </c>
      <c r="F472" s="365">
        <f t="shared" si="191"/>
        <v>0.39079565938475008</v>
      </c>
      <c r="G472" s="364">
        <f t="shared" si="192"/>
        <v>1.908675202417466</v>
      </c>
      <c r="H472" s="365">
        <f t="shared" si="193"/>
        <v>-1.0193454237532573</v>
      </c>
      <c r="I472" s="363">
        <f t="shared" si="194"/>
        <v>226662.05539364496</v>
      </c>
      <c r="J472" s="366">
        <f t="shared" si="195"/>
        <v>1.5707919149404366</v>
      </c>
      <c r="K472" s="374">
        <f t="shared" si="211"/>
        <v>70.137330080127811</v>
      </c>
      <c r="L472" s="375">
        <f t="shared" si="212"/>
        <v>1.556538101075517</v>
      </c>
      <c r="M472" s="363">
        <f t="shared" si="196"/>
        <v>2.3973722900552827</v>
      </c>
      <c r="N472" s="366">
        <f t="shared" si="197"/>
        <v>1.1405184505280404</v>
      </c>
      <c r="O472" s="367">
        <f t="shared" si="198"/>
        <v>1.3481024899697294</v>
      </c>
      <c r="P472" s="368">
        <f t="shared" si="199"/>
        <v>0.92724341351718353</v>
      </c>
      <c r="Q472" s="369">
        <f t="shared" si="200"/>
        <v>-21.838307701179144</v>
      </c>
      <c r="R472" s="370">
        <f t="shared" si="201"/>
        <v>-244.56097546846235</v>
      </c>
      <c r="S472" s="372">
        <f t="shared" si="202"/>
        <v>-64.560975468462345</v>
      </c>
      <c r="U472" s="345">
        <f t="shared" si="208"/>
        <v>54641.25</v>
      </c>
      <c r="V472" s="345">
        <f t="shared" si="209"/>
        <v>2985666201.5625</v>
      </c>
      <c r="X472" s="371">
        <f t="shared" si="203"/>
        <v>10.313372845222419</v>
      </c>
      <c r="Y472" s="372">
        <f t="shared" si="204"/>
        <v>-66.163577124084739</v>
      </c>
      <c r="AA472" s="371">
        <f t="shared" si="205"/>
        <v>25.349544721432441</v>
      </c>
      <c r="AB472" s="372">
        <f t="shared" si="206"/>
        <v>-178.39739834437756</v>
      </c>
      <c r="AD472">
        <f t="shared" si="210"/>
        <v>0</v>
      </c>
      <c r="AE472">
        <f t="shared" si="187"/>
        <v>0</v>
      </c>
    </row>
    <row r="473" spans="1:31" x14ac:dyDescent="0.2">
      <c r="A473" s="373">
        <v>54954</v>
      </c>
      <c r="B473" s="390">
        <f t="shared" si="207"/>
        <v>54.954000000000001</v>
      </c>
      <c r="C473" s="363">
        <f t="shared" si="188"/>
        <v>77.559173914438546</v>
      </c>
      <c r="D473" s="364">
        <f t="shared" si="189"/>
        <v>1.5579025882705175</v>
      </c>
      <c r="E473" s="364">
        <f t="shared" si="190"/>
        <v>1.082441892871169</v>
      </c>
      <c r="F473" s="365">
        <f t="shared" si="191"/>
        <v>0.39280989822655604</v>
      </c>
      <c r="G473" s="364">
        <f t="shared" si="192"/>
        <v>1.9166073025647561</v>
      </c>
      <c r="H473" s="365">
        <f t="shared" si="193"/>
        <v>-1.0218891123523941</v>
      </c>
      <c r="I473" s="363">
        <f t="shared" si="194"/>
        <v>227959.40049140513</v>
      </c>
      <c r="J473" s="366">
        <f t="shared" si="195"/>
        <v>1.570791940048845</v>
      </c>
      <c r="K473" s="374">
        <f t="shared" si="211"/>
        <v>70.538693584067829</v>
      </c>
      <c r="L473" s="375">
        <f t="shared" si="212"/>
        <v>1.5566192354951649</v>
      </c>
      <c r="M473" s="363">
        <f t="shared" si="196"/>
        <v>2.4087122536197665</v>
      </c>
      <c r="N473" s="366">
        <f t="shared" si="197"/>
        <v>1.1426781049375909</v>
      </c>
      <c r="O473" s="367">
        <f t="shared" si="198"/>
        <v>1.351735166172084</v>
      </c>
      <c r="P473" s="368">
        <f t="shared" si="199"/>
        <v>0.93128172552111299</v>
      </c>
      <c r="Q473" s="369">
        <f t="shared" si="200"/>
        <v>-21.908995307217381</v>
      </c>
      <c r="R473" s="370">
        <f t="shared" si="201"/>
        <v>-244.94600874927977</v>
      </c>
      <c r="S473" s="372">
        <f t="shared" si="202"/>
        <v>-64.94600874927977</v>
      </c>
      <c r="U473" s="345">
        <f t="shared" si="208"/>
        <v>54954</v>
      </c>
      <c r="V473" s="345">
        <f t="shared" si="209"/>
        <v>3019942116</v>
      </c>
      <c r="X473" s="371">
        <f t="shared" si="203"/>
        <v>10.272374010142933</v>
      </c>
      <c r="Y473" s="372">
        <f t="shared" si="204"/>
        <v>-66.282668985881656</v>
      </c>
      <c r="AA473" s="371">
        <f t="shared" si="205"/>
        <v>25.319855950473681</v>
      </c>
      <c r="AB473" s="372">
        <f t="shared" si="206"/>
        <v>-178.66333976339811</v>
      </c>
      <c r="AD473">
        <f t="shared" si="210"/>
        <v>0</v>
      </c>
      <c r="AE473">
        <f t="shared" si="187"/>
        <v>0</v>
      </c>
    </row>
    <row r="474" spans="1:31" x14ac:dyDescent="0.2">
      <c r="A474" s="373">
        <v>55274</v>
      </c>
      <c r="B474" s="390">
        <f t="shared" si="207"/>
        <v>55.274000000000001</v>
      </c>
      <c r="C474" s="363">
        <f t="shared" si="188"/>
        <v>78.010730156235482</v>
      </c>
      <c r="D474" s="364">
        <f t="shared" si="189"/>
        <v>1.5579772263103202</v>
      </c>
      <c r="E474" s="364">
        <f t="shared" si="190"/>
        <v>1.0833677497354108</v>
      </c>
      <c r="F474" s="365">
        <f t="shared" si="191"/>
        <v>0.39486735587100286</v>
      </c>
      <c r="G474" s="364">
        <f t="shared" si="192"/>
        <v>1.9247360089318424</v>
      </c>
      <c r="H474" s="365">
        <f t="shared" si="193"/>
        <v>-1.0244700497884001</v>
      </c>
      <c r="I474" s="363">
        <f t="shared" si="194"/>
        <v>229286.81993595604</v>
      </c>
      <c r="J474" s="366">
        <f t="shared" si="195"/>
        <v>1.5707919654452112</v>
      </c>
      <c r="K474" s="374">
        <f t="shared" si="211"/>
        <v>70.949361753059193</v>
      </c>
      <c r="L474" s="375">
        <f t="shared" si="212"/>
        <v>1.5567013006003643</v>
      </c>
      <c r="M474" s="363">
        <f t="shared" si="196"/>
        <v>2.4203266119376958</v>
      </c>
      <c r="N474" s="366">
        <f t="shared" si="197"/>
        <v>1.1448668664065844</v>
      </c>
      <c r="O474" s="367">
        <f t="shared" si="198"/>
        <v>1.3554670546404028</v>
      </c>
      <c r="P474" s="368">
        <f t="shared" si="199"/>
        <v>0.93539887330422811</v>
      </c>
      <c r="Q474" s="369">
        <f t="shared" si="200"/>
        <v>-21.980970024729707</v>
      </c>
      <c r="R474" s="370">
        <f t="shared" si="201"/>
        <v>-245.33687983418466</v>
      </c>
      <c r="S474" s="372">
        <f t="shared" si="202"/>
        <v>-65.336879834184657</v>
      </c>
      <c r="U474" s="345">
        <f t="shared" si="208"/>
        <v>55274</v>
      </c>
      <c r="V474" s="345">
        <f t="shared" si="209"/>
        <v>3055215076</v>
      </c>
      <c r="X474" s="371">
        <f t="shared" si="203"/>
        <v>10.230582853377015</v>
      </c>
      <c r="Y474" s="372">
        <f t="shared" si="204"/>
        <v>-66.403375251485144</v>
      </c>
      <c r="AA474" s="371">
        <f t="shared" si="205"/>
        <v>25.289672389727276</v>
      </c>
      <c r="AB474" s="372">
        <f t="shared" si="206"/>
        <v>-178.9335045826995</v>
      </c>
      <c r="AD474">
        <f t="shared" si="210"/>
        <v>0</v>
      </c>
      <c r="AE474">
        <f t="shared" ref="AE474:AE537" si="213">IF(AD474&gt;0,S474,0)</f>
        <v>0</v>
      </c>
    </row>
    <row r="475" spans="1:31" x14ac:dyDescent="0.2">
      <c r="A475" s="373">
        <v>55594</v>
      </c>
      <c r="B475" s="390">
        <f t="shared" si="207"/>
        <v>55.594000000000001</v>
      </c>
      <c r="C475" s="363">
        <f t="shared" si="188"/>
        <v>78.46228682761533</v>
      </c>
      <c r="D475" s="364">
        <f t="shared" si="189"/>
        <v>1.5580510052548757</v>
      </c>
      <c r="E475" s="364">
        <f t="shared" si="190"/>
        <v>1.0842981847951616</v>
      </c>
      <c r="F475" s="365">
        <f t="shared" si="191"/>
        <v>0.39692129119341851</v>
      </c>
      <c r="G475" s="364">
        <f t="shared" si="192"/>
        <v>1.9328774285357364</v>
      </c>
      <c r="H475" s="365">
        <f t="shared" si="193"/>
        <v>-1.0270292619620314</v>
      </c>
      <c r="I475" s="363">
        <f t="shared" si="194"/>
        <v>230614.23938050706</v>
      </c>
      <c r="J475" s="366">
        <f t="shared" si="195"/>
        <v>1.5707919905492134</v>
      </c>
      <c r="K475" s="374">
        <f t="shared" si="211"/>
        <v>71.36003039437233</v>
      </c>
      <c r="L475" s="375">
        <f t="shared" si="212"/>
        <v>1.5567824211559116</v>
      </c>
      <c r="M475" s="363">
        <f t="shared" si="196"/>
        <v>2.4319524544765754</v>
      </c>
      <c r="N475" s="366">
        <f t="shared" si="197"/>
        <v>1.1470347116211741</v>
      </c>
      <c r="O475" s="367">
        <f t="shared" si="198"/>
        <v>1.3592140573181233</v>
      </c>
      <c r="P475" s="368">
        <f t="shared" si="199"/>
        <v>0.93950112818714071</v>
      </c>
      <c r="Q475" s="369">
        <f t="shared" si="200"/>
        <v>-22.052592797600106</v>
      </c>
      <c r="R475" s="370">
        <f t="shared" si="201"/>
        <v>-245.72466113342819</v>
      </c>
      <c r="S475" s="372">
        <f t="shared" si="202"/>
        <v>-65.724661133428185</v>
      </c>
      <c r="U475" s="345">
        <f t="shared" si="208"/>
        <v>55594</v>
      </c>
      <c r="V475" s="345">
        <f t="shared" si="209"/>
        <v>3090692836</v>
      </c>
      <c r="X475" s="371">
        <f t="shared" si="203"/>
        <v>10.188950867940376</v>
      </c>
      <c r="Y475" s="372">
        <f t="shared" si="204"/>
        <v>-66.522937205944118</v>
      </c>
      <c r="AA475" s="371">
        <f t="shared" si="205"/>
        <v>25.259681602293519</v>
      </c>
      <c r="AB475" s="372">
        <f t="shared" si="206"/>
        <v>-179.2017239274841</v>
      </c>
      <c r="AD475">
        <f t="shared" si="210"/>
        <v>0</v>
      </c>
      <c r="AE475">
        <f t="shared" si="213"/>
        <v>0</v>
      </c>
    </row>
    <row r="476" spans="1:31" x14ac:dyDescent="0.2">
      <c r="A476" s="373">
        <v>55914</v>
      </c>
      <c r="B476" s="390">
        <f t="shared" si="207"/>
        <v>55.914000000000001</v>
      </c>
      <c r="C476" s="363">
        <f t="shared" si="188"/>
        <v>78.913843921203707</v>
      </c>
      <c r="D476" s="364">
        <f t="shared" si="189"/>
        <v>1.5581239398509978</v>
      </c>
      <c r="E476" s="364">
        <f t="shared" si="190"/>
        <v>1.085233186274942</v>
      </c>
      <c r="F476" s="365">
        <f t="shared" si="191"/>
        <v>0.39897169594616233</v>
      </c>
      <c r="G476" s="364">
        <f t="shared" si="192"/>
        <v>1.9410314014040786</v>
      </c>
      <c r="H476" s="365">
        <f t="shared" si="193"/>
        <v>-1.029566988931115</v>
      </c>
      <c r="I476" s="363">
        <f t="shared" si="194"/>
        <v>231941.65882505826</v>
      </c>
      <c r="J476" s="366">
        <f t="shared" si="195"/>
        <v>1.5707920153658714</v>
      </c>
      <c r="K476" s="374">
        <f t="shared" si="211"/>
        <v>71.770699499899393</v>
      </c>
      <c r="L476" s="375">
        <f t="shared" si="212"/>
        <v>1.556862613374757</v>
      </c>
      <c r="M476" s="363">
        <f t="shared" si="196"/>
        <v>2.4435896173213112</v>
      </c>
      <c r="N476" s="366">
        <f t="shared" si="197"/>
        <v>1.1491819188888612</v>
      </c>
      <c r="O476" s="367">
        <f t="shared" si="198"/>
        <v>1.3629761150580308</v>
      </c>
      <c r="P476" s="368">
        <f t="shared" si="199"/>
        <v>0.94358854554283056</v>
      </c>
      <c r="Q476" s="369">
        <f t="shared" si="200"/>
        <v>-22.123867205860854</v>
      </c>
      <c r="R476" s="370">
        <f t="shared" si="201"/>
        <v>-246.10938590863336</v>
      </c>
      <c r="S476" s="372">
        <f t="shared" si="202"/>
        <v>-66.109385908633357</v>
      </c>
      <c r="U476" s="345">
        <f t="shared" si="208"/>
        <v>55914</v>
      </c>
      <c r="V476" s="345">
        <f t="shared" si="209"/>
        <v>3126375396</v>
      </c>
      <c r="X476" s="371">
        <f t="shared" si="203"/>
        <v>10.147477312057241</v>
      </c>
      <c r="Y476" s="372">
        <f t="shared" si="204"/>
        <v>-66.641369866457893</v>
      </c>
      <c r="AA476" s="371">
        <f t="shared" si="205"/>
        <v>25.22988074991591</v>
      </c>
      <c r="AB476" s="372">
        <f t="shared" si="206"/>
        <v>-179.46801604217549</v>
      </c>
      <c r="AD476">
        <f t="shared" si="210"/>
        <v>0</v>
      </c>
      <c r="AE476">
        <f t="shared" si="213"/>
        <v>0</v>
      </c>
    </row>
    <row r="477" spans="1:31" x14ac:dyDescent="0.2">
      <c r="A477" s="373">
        <v>56234</v>
      </c>
      <c r="B477" s="390">
        <f t="shared" si="207"/>
        <v>56.234000000000002</v>
      </c>
      <c r="C477" s="363">
        <f t="shared" si="188"/>
        <v>79.365401429794005</v>
      </c>
      <c r="D477" s="364">
        <f t="shared" si="189"/>
        <v>1.5581960445099217</v>
      </c>
      <c r="E477" s="364">
        <f t="shared" si="190"/>
        <v>1.0861727423821266</v>
      </c>
      <c r="F477" s="365">
        <f t="shared" si="191"/>
        <v>0.40101856202866698</v>
      </c>
      <c r="G477" s="364">
        <f t="shared" si="192"/>
        <v>1.9491977699967125</v>
      </c>
      <c r="H477" s="365">
        <f t="shared" si="193"/>
        <v>-1.0320834678467161</v>
      </c>
      <c r="I477" s="363">
        <f t="shared" si="194"/>
        <v>233269.07826960957</v>
      </c>
      <c r="J477" s="366">
        <f t="shared" si="195"/>
        <v>1.5707920399000908</v>
      </c>
      <c r="K477" s="374">
        <f t="shared" si="211"/>
        <v>72.181369061717078</v>
      </c>
      <c r="L477" s="375">
        <f t="shared" si="212"/>
        <v>1.5569418931009307</v>
      </c>
      <c r="M477" s="363">
        <f t="shared" si="196"/>
        <v>2.4552379395063584</v>
      </c>
      <c r="N477" s="366">
        <f t="shared" si="197"/>
        <v>1.1513087620046127</v>
      </c>
      <c r="O477" s="367">
        <f t="shared" si="198"/>
        <v>1.3667531692424189</v>
      </c>
      <c r="P477" s="368">
        <f t="shared" si="199"/>
        <v>0.94766118109206898</v>
      </c>
      <c r="Q477" s="369">
        <f t="shared" si="200"/>
        <v>-22.194796769872084</v>
      </c>
      <c r="R477" s="370">
        <f t="shared" si="201"/>
        <v>-246.4910870097325</v>
      </c>
      <c r="S477" s="372">
        <f t="shared" si="202"/>
        <v>-66.491087009732496</v>
      </c>
      <c r="U477" s="345">
        <f t="shared" si="208"/>
        <v>56234</v>
      </c>
      <c r="V477" s="345">
        <f t="shared" si="209"/>
        <v>3162262756</v>
      </c>
      <c r="X477" s="371">
        <f t="shared" si="203"/>
        <v>10.106161439166153</v>
      </c>
      <c r="Y477" s="372">
        <f t="shared" si="204"/>
        <v>-66.758688012807497</v>
      </c>
      <c r="AA477" s="371">
        <f t="shared" si="205"/>
        <v>25.200267058795767</v>
      </c>
      <c r="AB477" s="372">
        <f t="shared" si="206"/>
        <v>-179.73239899692504</v>
      </c>
      <c r="AD477">
        <f t="shared" si="210"/>
        <v>0</v>
      </c>
      <c r="AE477">
        <f t="shared" si="213"/>
        <v>0</v>
      </c>
    </row>
    <row r="478" spans="1:31" x14ac:dyDescent="0.2">
      <c r="A478" s="373">
        <v>56561.5</v>
      </c>
      <c r="B478" s="390">
        <f t="shared" si="207"/>
        <v>56.561500000000002</v>
      </c>
      <c r="C478" s="363">
        <f t="shared" si="188"/>
        <v>79.82754273984861</v>
      </c>
      <c r="D478" s="364">
        <f t="shared" si="189"/>
        <v>1.5582689944753521</v>
      </c>
      <c r="E478" s="364">
        <f t="shared" si="190"/>
        <v>1.0871390230143221</v>
      </c>
      <c r="F478" s="365">
        <f t="shared" si="191"/>
        <v>0.40310972918714788</v>
      </c>
      <c r="G478" s="364">
        <f t="shared" si="192"/>
        <v>1.9575682108830539</v>
      </c>
      <c r="H478" s="365">
        <f t="shared" si="193"/>
        <v>-1.0346371702966886</v>
      </c>
      <c r="I478" s="363">
        <f t="shared" si="194"/>
        <v>234627.60910739272</v>
      </c>
      <c r="J478" s="366">
        <f t="shared" si="195"/>
        <v>1.5707920647218874</v>
      </c>
      <c r="K478" s="374">
        <f t="shared" si="211"/>
        <v>72.601664155767338</v>
      </c>
      <c r="L478" s="375">
        <f t="shared" si="212"/>
        <v>1.5570221022799065</v>
      </c>
      <c r="M478" s="363">
        <f t="shared" si="196"/>
        <v>2.467170659028012</v>
      </c>
      <c r="N478" s="366">
        <f t="shared" si="197"/>
        <v>1.1534646483927877</v>
      </c>
      <c r="O478" s="367">
        <f t="shared" si="198"/>
        <v>1.370634215302525</v>
      </c>
      <c r="P478" s="368">
        <f t="shared" si="199"/>
        <v>0.95181402199109288</v>
      </c>
      <c r="Q478" s="369">
        <f t="shared" si="200"/>
        <v>-22.267035295493287</v>
      </c>
      <c r="R478" s="370">
        <f t="shared" si="201"/>
        <v>-246.87863727779464</v>
      </c>
      <c r="S478" s="372">
        <f t="shared" si="202"/>
        <v>-66.878637277794638</v>
      </c>
      <c r="U478" s="345">
        <f t="shared" si="208"/>
        <v>56561.5</v>
      </c>
      <c r="V478" s="345">
        <f t="shared" si="209"/>
        <v>3199203282.25</v>
      </c>
      <c r="X478" s="371">
        <f t="shared" si="203"/>
        <v>10.064039711714818</v>
      </c>
      <c r="Y478" s="372">
        <f t="shared" si="204"/>
        <v>-66.877616978846177</v>
      </c>
      <c r="AA478" s="371">
        <f t="shared" si="205"/>
        <v>25.170150260625903</v>
      </c>
      <c r="AB478" s="372">
        <f t="shared" si="206"/>
        <v>-180.00102029894848</v>
      </c>
      <c r="AD478">
        <f t="shared" si="210"/>
        <v>0</v>
      </c>
      <c r="AE478">
        <f t="shared" si="213"/>
        <v>0</v>
      </c>
    </row>
    <row r="479" spans="1:31" x14ac:dyDescent="0.2">
      <c r="A479" s="373">
        <v>56889</v>
      </c>
      <c r="B479" s="390">
        <f t="shared" si="207"/>
        <v>56.889000000000003</v>
      </c>
      <c r="C479" s="363">
        <f t="shared" si="188"/>
        <v>80.289684469830817</v>
      </c>
      <c r="D479" s="364">
        <f t="shared" si="189"/>
        <v>1.558341104651507</v>
      </c>
      <c r="E479" s="364">
        <f t="shared" si="190"/>
        <v>1.0881100492281892</v>
      </c>
      <c r="F479" s="365">
        <f t="shared" si="191"/>
        <v>0.40519717315756987</v>
      </c>
      <c r="G479" s="364">
        <f t="shared" si="192"/>
        <v>1.9659513090905789</v>
      </c>
      <c r="H479" s="365">
        <f t="shared" si="193"/>
        <v>-1.0371691104347209</v>
      </c>
      <c r="I479" s="363">
        <f t="shared" si="194"/>
        <v>235986.13994517599</v>
      </c>
      <c r="J479" s="366">
        <f t="shared" si="195"/>
        <v>1.5707920892578946</v>
      </c>
      <c r="K479" s="374">
        <f t="shared" si="211"/>
        <v>73.021959711524474</v>
      </c>
      <c r="L479" s="375">
        <f t="shared" si="212"/>
        <v>1.5571013881327171</v>
      </c>
      <c r="M479" s="363">
        <f t="shared" si="196"/>
        <v>2.4791147351598468</v>
      </c>
      <c r="N479" s="366">
        <f t="shared" si="197"/>
        <v>1.1555997710233945</v>
      </c>
      <c r="O479" s="367">
        <f t="shared" si="198"/>
        <v>1.3745308464639834</v>
      </c>
      <c r="P479" s="368">
        <f t="shared" si="199"/>
        <v>0.95595149920594025</v>
      </c>
      <c r="Q479" s="369">
        <f t="shared" si="200"/>
        <v>-22.33891989821652</v>
      </c>
      <c r="R479" s="370">
        <f t="shared" si="201"/>
        <v>-247.26308880018883</v>
      </c>
      <c r="S479" s="372">
        <f t="shared" si="202"/>
        <v>-67.263088800188825</v>
      </c>
      <c r="U479" s="345">
        <f t="shared" si="208"/>
        <v>56889</v>
      </c>
      <c r="V479" s="345">
        <f t="shared" si="209"/>
        <v>3236358321</v>
      </c>
      <c r="X479" s="371">
        <f t="shared" si="203"/>
        <v>10.022081549438271</v>
      </c>
      <c r="Y479" s="372">
        <f t="shared" si="204"/>
        <v>-66.995409155525934</v>
      </c>
      <c r="AA479" s="371">
        <f t="shared" si="205"/>
        <v>25.140223820179209</v>
      </c>
      <c r="AB479" s="372">
        <f t="shared" si="206"/>
        <v>-180.26767964466293</v>
      </c>
      <c r="AD479">
        <f t="shared" si="210"/>
        <v>0</v>
      </c>
      <c r="AE479">
        <f t="shared" si="213"/>
        <v>0</v>
      </c>
    </row>
    <row r="480" spans="1:31" x14ac:dyDescent="0.2">
      <c r="A480" s="373">
        <v>57216.5</v>
      </c>
      <c r="B480" s="390">
        <f t="shared" si="207"/>
        <v>57.216500000000003</v>
      </c>
      <c r="C480" s="363">
        <f t="shared" si="188"/>
        <v>80.751826612530905</v>
      </c>
      <c r="D480" s="364">
        <f t="shared" si="189"/>
        <v>1.5584123894559547</v>
      </c>
      <c r="E480" s="364">
        <f t="shared" si="190"/>
        <v>1.0890858083302821</v>
      </c>
      <c r="F480" s="365">
        <f t="shared" si="191"/>
        <v>0.40728088573132404</v>
      </c>
      <c r="G480" s="364">
        <f t="shared" si="192"/>
        <v>1.9743469033899281</v>
      </c>
      <c r="H480" s="365">
        <f t="shared" si="193"/>
        <v>-1.039679533211961</v>
      </c>
      <c r="I480" s="363">
        <f t="shared" si="194"/>
        <v>237344.67078295944</v>
      </c>
      <c r="J480" s="366">
        <f t="shared" si="195"/>
        <v>1.5707921135130196</v>
      </c>
      <c r="K480" s="374">
        <f t="shared" si="211"/>
        <v>73.442255721061727</v>
      </c>
      <c r="L480" s="375">
        <f t="shared" si="212"/>
        <v>1.5571797665104155</v>
      </c>
      <c r="M480" s="363">
        <f t="shared" si="196"/>
        <v>2.4910700045452976</v>
      </c>
      <c r="N480" s="366">
        <f t="shared" si="197"/>
        <v>1.1577144092397509</v>
      </c>
      <c r="O480" s="367">
        <f t="shared" si="198"/>
        <v>1.378443001607033</v>
      </c>
      <c r="P480" s="368">
        <f t="shared" si="199"/>
        <v>0.96007367349218209</v>
      </c>
      <c r="Q480" s="369">
        <f t="shared" si="200"/>
        <v>-22.410454166286534</v>
      </c>
      <c r="R480" s="370">
        <f t="shared" si="201"/>
        <v>-247.64447548628024</v>
      </c>
      <c r="S480" s="372">
        <f t="shared" si="202"/>
        <v>-67.644475486280243</v>
      </c>
      <c r="U480" s="345">
        <f t="shared" si="208"/>
        <v>57216.5</v>
      </c>
      <c r="V480" s="345">
        <f t="shared" si="209"/>
        <v>3273727872.25</v>
      </c>
      <c r="X480" s="371">
        <f t="shared" si="203"/>
        <v>9.9802861391511435</v>
      </c>
      <c r="Y480" s="372">
        <f t="shared" si="204"/>
        <v>-67.112079640122616</v>
      </c>
      <c r="AA480" s="371">
        <f t="shared" si="205"/>
        <v>25.11048496239632</v>
      </c>
      <c r="AB480" s="372">
        <f t="shared" si="206"/>
        <v>-180.53239584615758</v>
      </c>
      <c r="AD480">
        <f t="shared" si="210"/>
        <v>0</v>
      </c>
      <c r="AE480">
        <f t="shared" si="213"/>
        <v>0</v>
      </c>
    </row>
    <row r="481" spans="1:31" x14ac:dyDescent="0.2">
      <c r="A481" s="373">
        <v>57544</v>
      </c>
      <c r="B481" s="390">
        <f t="shared" si="207"/>
        <v>57.543999999999997</v>
      </c>
      <c r="C481" s="363">
        <f t="shared" si="188"/>
        <v>81.213969160903218</v>
      </c>
      <c r="D481" s="364">
        <f t="shared" si="189"/>
        <v>1.5584828629781289</v>
      </c>
      <c r="E481" s="364">
        <f t="shared" si="190"/>
        <v>1.0900662876108445</v>
      </c>
      <c r="F481" s="365">
        <f t="shared" si="191"/>
        <v>0.40936085885872964</v>
      </c>
      <c r="G481" s="364">
        <f t="shared" si="192"/>
        <v>1.9827548350442099</v>
      </c>
      <c r="H481" s="365">
        <f t="shared" si="193"/>
        <v>-1.0421686805188097</v>
      </c>
      <c r="I481" s="363">
        <f t="shared" si="194"/>
        <v>238703.201620743</v>
      </c>
      <c r="J481" s="366">
        <f t="shared" si="195"/>
        <v>1.5707921374920586</v>
      </c>
      <c r="K481" s="374">
        <f t="shared" si="211"/>
        <v>73.862552176632718</v>
      </c>
      <c r="L481" s="375">
        <f t="shared" si="212"/>
        <v>1.5572572529033135</v>
      </c>
      <c r="M481" s="363">
        <f t="shared" si="196"/>
        <v>2.5030363067971289</v>
      </c>
      <c r="N481" s="366">
        <f t="shared" si="197"/>
        <v>1.1598088377836522</v>
      </c>
      <c r="O481" s="367">
        <f t="shared" si="198"/>
        <v>1.3823706201884569</v>
      </c>
      <c r="P481" s="368">
        <f t="shared" si="199"/>
        <v>0.96418060591569954</v>
      </c>
      <c r="Q481" s="369">
        <f t="shared" si="200"/>
        <v>-22.481641628207981</v>
      </c>
      <c r="R481" s="370">
        <f t="shared" si="201"/>
        <v>-248.02283081695361</v>
      </c>
      <c r="S481" s="372">
        <f t="shared" si="202"/>
        <v>-68.022830816953615</v>
      </c>
      <c r="U481" s="345">
        <f t="shared" si="208"/>
        <v>57544</v>
      </c>
      <c r="V481" s="345">
        <f t="shared" si="209"/>
        <v>3311311936</v>
      </c>
      <c r="X481" s="371">
        <f t="shared" si="203"/>
        <v>9.9386526641661437</v>
      </c>
      <c r="Y481" s="372">
        <f t="shared" si="204"/>
        <v>-67.227643286926934</v>
      </c>
      <c r="AA481" s="371">
        <f t="shared" si="205"/>
        <v>25.080930975459871</v>
      </c>
      <c r="AB481" s="372">
        <f t="shared" si="206"/>
        <v>-180.79518753002668</v>
      </c>
      <c r="AD481">
        <f t="shared" si="210"/>
        <v>0</v>
      </c>
      <c r="AE481">
        <f t="shared" si="213"/>
        <v>0</v>
      </c>
    </row>
    <row r="482" spans="1:31" x14ac:dyDescent="0.2">
      <c r="A482" s="373">
        <v>57879</v>
      </c>
      <c r="B482" s="390">
        <f t="shared" si="207"/>
        <v>57.878999999999998</v>
      </c>
      <c r="C482" s="363">
        <f t="shared" si="188"/>
        <v>81.686695538949792</v>
      </c>
      <c r="D482" s="364">
        <f t="shared" si="189"/>
        <v>1.5585541253883961</v>
      </c>
      <c r="E482" s="364">
        <f t="shared" si="190"/>
        <v>1.0910740909086258</v>
      </c>
      <c r="F482" s="365">
        <f t="shared" si="191"/>
        <v>0.41148458785141617</v>
      </c>
      <c r="G482" s="364">
        <f t="shared" si="192"/>
        <v>1.9913679162273781</v>
      </c>
      <c r="H482" s="365">
        <f t="shared" si="193"/>
        <v>-1.0446930683118709</v>
      </c>
      <c r="I482" s="363">
        <f t="shared" si="194"/>
        <v>240092.84385175837</v>
      </c>
      <c r="J482" s="366">
        <f t="shared" si="195"/>
        <v>1.5707921617394791</v>
      </c>
      <c r="K482" s="374">
        <f t="shared" si="211"/>
        <v>74.292474195453877</v>
      </c>
      <c r="L482" s="375">
        <f t="shared" si="212"/>
        <v>1.5573356067157007</v>
      </c>
      <c r="M482" s="363">
        <f t="shared" si="196"/>
        <v>2.5152878970970804</v>
      </c>
      <c r="N482" s="366">
        <f t="shared" si="197"/>
        <v>1.1619306028284326</v>
      </c>
      <c r="O482" s="367">
        <f t="shared" si="198"/>
        <v>1.3864041203996977</v>
      </c>
      <c r="P482" s="368">
        <f t="shared" si="199"/>
        <v>0.96836588476102792</v>
      </c>
      <c r="Q482" s="369">
        <f t="shared" si="200"/>
        <v>-22.554104144367638</v>
      </c>
      <c r="R482" s="370">
        <f t="shared" si="201"/>
        <v>-248.40674895364808</v>
      </c>
      <c r="S482" s="372">
        <f t="shared" si="202"/>
        <v>-68.406748953648076</v>
      </c>
      <c r="U482" s="345">
        <f t="shared" si="208"/>
        <v>57879</v>
      </c>
      <c r="V482" s="345">
        <f t="shared" si="209"/>
        <v>3349978641</v>
      </c>
      <c r="X482" s="371">
        <f t="shared" si="203"/>
        <v>9.8962324365916778</v>
      </c>
      <c r="Y482" s="372">
        <f t="shared" si="204"/>
        <v>-67.344723515761345</v>
      </c>
      <c r="AA482" s="371">
        <f t="shared" si="205"/>
        <v>25.050888686874686</v>
      </c>
      <c r="AB482" s="372">
        <f t="shared" si="206"/>
        <v>-181.06202543788677</v>
      </c>
      <c r="AD482">
        <f t="shared" si="210"/>
        <v>0</v>
      </c>
      <c r="AE482">
        <f t="shared" si="213"/>
        <v>0</v>
      </c>
    </row>
    <row r="483" spans="1:31" x14ac:dyDescent="0.2">
      <c r="A483" s="373">
        <v>58214</v>
      </c>
      <c r="B483" s="390">
        <f t="shared" si="207"/>
        <v>58.213999999999999</v>
      </c>
      <c r="C483" s="363">
        <f t="shared" si="188"/>
        <v>82.159422327054756</v>
      </c>
      <c r="D483" s="364">
        <f t="shared" si="189"/>
        <v>1.5586245677433417</v>
      </c>
      <c r="E483" s="364">
        <f t="shared" si="190"/>
        <v>1.092086806100526</v>
      </c>
      <c r="F483" s="365">
        <f t="shared" si="191"/>
        <v>0.413604387632518</v>
      </c>
      <c r="G483" s="364">
        <f t="shared" si="192"/>
        <v>1.999993578121962</v>
      </c>
      <c r="H483" s="365">
        <f t="shared" si="193"/>
        <v>-1.0471956973531462</v>
      </c>
      <c r="I483" s="363">
        <f t="shared" si="194"/>
        <v>241482.48608277389</v>
      </c>
      <c r="J483" s="366">
        <f t="shared" si="195"/>
        <v>1.5707921857078297</v>
      </c>
      <c r="K483" s="374">
        <f t="shared" si="211"/>
        <v>74.722396665131825</v>
      </c>
      <c r="L483" s="375">
        <f t="shared" si="212"/>
        <v>1.5574130588962229</v>
      </c>
      <c r="M483" s="363">
        <f t="shared" si="196"/>
        <v>2.5275507011337499</v>
      </c>
      <c r="N483" s="366">
        <f t="shared" si="197"/>
        <v>1.1640317891121637</v>
      </c>
      <c r="O483" s="367">
        <f t="shared" si="198"/>
        <v>1.3904536741023072</v>
      </c>
      <c r="P483" s="368">
        <f t="shared" si="199"/>
        <v>0.97253534582305889</v>
      </c>
      <c r="Q483" s="369">
        <f t="shared" si="200"/>
        <v>-22.626211071156771</v>
      </c>
      <c r="R483" s="370">
        <f t="shared" si="201"/>
        <v>-248.78756482255704</v>
      </c>
      <c r="S483" s="372">
        <f t="shared" si="202"/>
        <v>-68.787564822557044</v>
      </c>
      <c r="U483" s="345">
        <f t="shared" si="208"/>
        <v>58214</v>
      </c>
      <c r="V483" s="345">
        <f t="shared" si="209"/>
        <v>3388869796</v>
      </c>
      <c r="X483" s="371">
        <f t="shared" si="203"/>
        <v>9.8539799079897978</v>
      </c>
      <c r="Y483" s="372">
        <f t="shared" si="204"/>
        <v>-67.460676312149701</v>
      </c>
      <c r="AA483" s="371">
        <f t="shared" si="205"/>
        <v>25.021034288687435</v>
      </c>
      <c r="AB483" s="372">
        <f t="shared" si="206"/>
        <v>-181.32688851040731</v>
      </c>
      <c r="AD483">
        <f t="shared" si="210"/>
        <v>0</v>
      </c>
      <c r="AE483">
        <f t="shared" si="213"/>
        <v>0</v>
      </c>
    </row>
    <row r="484" spans="1:31" x14ac:dyDescent="0.2">
      <c r="A484" s="373">
        <v>58549</v>
      </c>
      <c r="B484" s="390">
        <f t="shared" si="207"/>
        <v>58.548999999999999</v>
      </c>
      <c r="C484" s="363">
        <f t="shared" si="188"/>
        <v>82.632149518180441</v>
      </c>
      <c r="D484" s="364">
        <f t="shared" si="189"/>
        <v>1.5586942041165319</v>
      </c>
      <c r="E484" s="364">
        <f t="shared" si="190"/>
        <v>1.0931044195345565</v>
      </c>
      <c r="F484" s="365">
        <f t="shared" si="191"/>
        <v>0.41572025009845709</v>
      </c>
      <c r="G484" s="364">
        <f t="shared" si="192"/>
        <v>2.0086316586520163</v>
      </c>
      <c r="H484" s="365">
        <f t="shared" si="193"/>
        <v>-1.0496768168100199</v>
      </c>
      <c r="I484" s="363">
        <f t="shared" si="194"/>
        <v>242872.12831378955</v>
      </c>
      <c r="J484" s="366">
        <f t="shared" si="195"/>
        <v>1.5707922094019007</v>
      </c>
      <c r="K484" s="374">
        <f t="shared" si="211"/>
        <v>75.152319577928921</v>
      </c>
      <c r="L484" s="375">
        <f t="shared" si="212"/>
        <v>1.5574896249178043</v>
      </c>
      <c r="M484" s="363">
        <f t="shared" si="196"/>
        <v>2.5398245564803457</v>
      </c>
      <c r="N484" s="366">
        <f t="shared" si="197"/>
        <v>1.1661126762902772</v>
      </c>
      <c r="O484" s="367">
        <f t="shared" si="198"/>
        <v>1.3945192183606145</v>
      </c>
      <c r="P484" s="368">
        <f t="shared" si="199"/>
        <v>0.97668905535682105</v>
      </c>
      <c r="Q484" s="369">
        <f t="shared" si="200"/>
        <v>-22.697965999801163</v>
      </c>
      <c r="R484" s="370">
        <f t="shared" si="201"/>
        <v>-249.16531290352745</v>
      </c>
      <c r="S484" s="372">
        <f t="shared" si="202"/>
        <v>-69.16531290352745</v>
      </c>
      <c r="U484" s="345">
        <f t="shared" si="208"/>
        <v>58549</v>
      </c>
      <c r="V484" s="345">
        <f t="shared" si="209"/>
        <v>3427985401</v>
      </c>
      <c r="X484" s="371">
        <f t="shared" si="203"/>
        <v>9.8118941954254311</v>
      </c>
      <c r="Y484" s="372">
        <f t="shared" si="204"/>
        <v>-67.575516812909271</v>
      </c>
      <c r="AA484" s="371">
        <f t="shared" si="205"/>
        <v>24.991365072607408</v>
      </c>
      <c r="AB484" s="372">
        <f t="shared" si="206"/>
        <v>-181.58979609061817</v>
      </c>
      <c r="AD484">
        <f t="shared" si="210"/>
        <v>0</v>
      </c>
      <c r="AE484">
        <f t="shared" si="213"/>
        <v>0</v>
      </c>
    </row>
    <row r="485" spans="1:31" x14ac:dyDescent="0.2">
      <c r="A485" s="373">
        <v>58884</v>
      </c>
      <c r="B485" s="390">
        <f t="shared" si="207"/>
        <v>58.884</v>
      </c>
      <c r="C485" s="363">
        <f t="shared" si="188"/>
        <v>83.104877105449333</v>
      </c>
      <c r="D485" s="364">
        <f t="shared" si="189"/>
        <v>1.5587630482613455</v>
      </c>
      <c r="E485" s="364">
        <f t="shared" si="190"/>
        <v>1.0941269175436088</v>
      </c>
      <c r="F485" s="365">
        <f t="shared" si="191"/>
        <v>0.41783216731674422</v>
      </c>
      <c r="G485" s="364">
        <f t="shared" si="192"/>
        <v>2.0172819982862964</v>
      </c>
      <c r="H485" s="365">
        <f t="shared" si="193"/>
        <v>-1.0521366726445665</v>
      </c>
      <c r="I485" s="363">
        <f t="shared" si="194"/>
        <v>244261.77054480536</v>
      </c>
      <c r="J485" s="366">
        <f t="shared" si="195"/>
        <v>1.5707922328263735</v>
      </c>
      <c r="K485" s="374">
        <f t="shared" si="211"/>
        <v>75.582242926283584</v>
      </c>
      <c r="L485" s="375">
        <f t="shared" si="212"/>
        <v>1.5575653199013619</v>
      </c>
      <c r="M485" s="363">
        <f t="shared" si="196"/>
        <v>2.55210930368973</v>
      </c>
      <c r="N485" s="366">
        <f t="shared" si="197"/>
        <v>1.1681735393441115</v>
      </c>
      <c r="O485" s="367">
        <f t="shared" si="198"/>
        <v>1.3986006908634343</v>
      </c>
      <c r="P485" s="368">
        <f t="shared" si="199"/>
        <v>0.98082707988352513</v>
      </c>
      <c r="Q485" s="369">
        <f t="shared" si="200"/>
        <v>-22.769372461887265</v>
      </c>
      <c r="R485" s="370">
        <f t="shared" si="201"/>
        <v>-249.54002723221507</v>
      </c>
      <c r="S485" s="372">
        <f t="shared" si="202"/>
        <v>-69.540027232215067</v>
      </c>
      <c r="U485" s="345">
        <f t="shared" si="208"/>
        <v>58884</v>
      </c>
      <c r="V485" s="345">
        <f t="shared" si="209"/>
        <v>3467325456</v>
      </c>
      <c r="X485" s="371">
        <f t="shared" si="203"/>
        <v>9.7699744137765272</v>
      </c>
      <c r="Y485" s="372">
        <f t="shared" si="204"/>
        <v>-67.689259907213668</v>
      </c>
      <c r="AA485" s="371">
        <f t="shared" si="205"/>
        <v>24.961878392170206</v>
      </c>
      <c r="AB485" s="372">
        <f t="shared" si="206"/>
        <v>-181.85076732500141</v>
      </c>
      <c r="AD485">
        <f t="shared" si="210"/>
        <v>0</v>
      </c>
      <c r="AE485">
        <f t="shared" si="213"/>
        <v>0</v>
      </c>
    </row>
    <row r="486" spans="1:31" x14ac:dyDescent="0.2">
      <c r="A486" s="373">
        <v>59227</v>
      </c>
      <c r="B486" s="390">
        <f t="shared" si="207"/>
        <v>59.226999999999997</v>
      </c>
      <c r="C486" s="363">
        <f t="shared" si="188"/>
        <v>83.588894113154865</v>
      </c>
      <c r="D486" s="364">
        <f t="shared" si="189"/>
        <v>1.5588327296493949</v>
      </c>
      <c r="E486" s="364">
        <f t="shared" si="190"/>
        <v>1.0951788800647724</v>
      </c>
      <c r="F486" s="365">
        <f t="shared" si="191"/>
        <v>0.41999042257875474</v>
      </c>
      <c r="G486" s="364">
        <f t="shared" si="192"/>
        <v>2.0261514509467133</v>
      </c>
      <c r="H486" s="365">
        <f t="shared" si="193"/>
        <v>-1.0546334934804091</v>
      </c>
      <c r="I486" s="363">
        <f t="shared" si="194"/>
        <v>245684.59826193511</v>
      </c>
      <c r="J486" s="366">
        <f t="shared" si="195"/>
        <v>1.5707922565356818</v>
      </c>
      <c r="K486" s="374">
        <f t="shared" si="211"/>
        <v>76.022433544434193</v>
      </c>
      <c r="L486" s="375">
        <f t="shared" si="212"/>
        <v>1.557641935470838</v>
      </c>
      <c r="M486" s="363">
        <f t="shared" si="196"/>
        <v>2.5646985396645658</v>
      </c>
      <c r="N486" s="366">
        <f t="shared" si="197"/>
        <v>1.1702631522817775</v>
      </c>
      <c r="O486" s="367">
        <f t="shared" si="198"/>
        <v>1.4027960702957101</v>
      </c>
      <c r="P486" s="368">
        <f t="shared" si="199"/>
        <v>0.98504774130860495</v>
      </c>
      <c r="Q486" s="369">
        <f t="shared" si="200"/>
        <v>-22.842126731620361</v>
      </c>
      <c r="R486" s="370">
        <f t="shared" si="201"/>
        <v>-249.92058175878711</v>
      </c>
      <c r="S486" s="372">
        <f t="shared" si="202"/>
        <v>-69.920581758787108</v>
      </c>
      <c r="U486" s="345">
        <f t="shared" si="208"/>
        <v>59227</v>
      </c>
      <c r="V486" s="345">
        <f t="shared" si="209"/>
        <v>3507837529</v>
      </c>
      <c r="X486" s="371">
        <f t="shared" si="203"/>
        <v>9.7272245584529262</v>
      </c>
      <c r="Y486" s="372">
        <f t="shared" si="204"/>
        <v>-67.804597519156985</v>
      </c>
      <c r="AA486" s="371">
        <f t="shared" si="205"/>
        <v>24.931873977760716</v>
      </c>
      <c r="AB486" s="372">
        <f t="shared" si="206"/>
        <v>-182.11598423963008</v>
      </c>
      <c r="AD486">
        <f t="shared" si="210"/>
        <v>0</v>
      </c>
      <c r="AE486">
        <f t="shared" si="213"/>
        <v>0</v>
      </c>
    </row>
    <row r="487" spans="1:31" x14ac:dyDescent="0.2">
      <c r="A487" s="373">
        <v>59570</v>
      </c>
      <c r="B487" s="390">
        <f t="shared" si="207"/>
        <v>59.57</v>
      </c>
      <c r="C487" s="363">
        <f t="shared" si="188"/>
        <v>84.072911522052706</v>
      </c>
      <c r="D487" s="364">
        <f t="shared" si="189"/>
        <v>1.5589016087102654</v>
      </c>
      <c r="E487" s="364">
        <f t="shared" si="190"/>
        <v>1.0962359341965784</v>
      </c>
      <c r="F487" s="365">
        <f t="shared" si="191"/>
        <v>0.4221445256293716</v>
      </c>
      <c r="G487" s="364">
        <f t="shared" si="192"/>
        <v>2.0350334247174295</v>
      </c>
      <c r="H487" s="365">
        <f t="shared" si="193"/>
        <v>-1.0571085347121714</v>
      </c>
      <c r="I487" s="363">
        <f t="shared" si="194"/>
        <v>247107.42597906501</v>
      </c>
      <c r="J487" s="366">
        <f t="shared" si="195"/>
        <v>1.5707922799719569</v>
      </c>
      <c r="K487" s="374">
        <f t="shared" si="211"/>
        <v>76.462624603694294</v>
      </c>
      <c r="L487" s="375">
        <f t="shared" si="212"/>
        <v>1.5577176688976455</v>
      </c>
      <c r="M487" s="363">
        <f t="shared" si="196"/>
        <v>2.5772988649177853</v>
      </c>
      <c r="N487" s="366">
        <f t="shared" si="197"/>
        <v>1.1723323420899241</v>
      </c>
      <c r="O487" s="367">
        <f t="shared" si="198"/>
        <v>1.4070080175999133</v>
      </c>
      <c r="P487" s="368">
        <f t="shared" si="199"/>
        <v>0.98925210156436694</v>
      </c>
      <c r="Q487" s="369">
        <f t="shared" si="200"/>
        <v>-22.914523000120496</v>
      </c>
      <c r="R487" s="370">
        <f t="shared" si="201"/>
        <v>-250.29802672026884</v>
      </c>
      <c r="S487" s="372">
        <f t="shared" si="202"/>
        <v>-70.298026720268837</v>
      </c>
      <c r="U487" s="345">
        <f t="shared" si="208"/>
        <v>59570</v>
      </c>
      <c r="V487" s="345">
        <f t="shared" si="209"/>
        <v>3548584900</v>
      </c>
      <c r="X487" s="371">
        <f t="shared" si="203"/>
        <v>9.6846467703317529</v>
      </c>
      <c r="Y487" s="372">
        <f t="shared" si="204"/>
        <v>-67.918815499381296</v>
      </c>
      <c r="AA487" s="371">
        <f t="shared" si="205"/>
        <v>24.90205549738176</v>
      </c>
      <c r="AB487" s="372">
        <f t="shared" si="206"/>
        <v>-182.37921122088747</v>
      </c>
      <c r="AD487">
        <f t="shared" si="210"/>
        <v>0</v>
      </c>
      <c r="AE487">
        <f t="shared" si="213"/>
        <v>0</v>
      </c>
    </row>
    <row r="488" spans="1:31" x14ac:dyDescent="0.2">
      <c r="A488" s="373">
        <v>59913</v>
      </c>
      <c r="B488" s="390">
        <f t="shared" si="207"/>
        <v>59.912999999999997</v>
      </c>
      <c r="C488" s="363">
        <f t="shared" si="188"/>
        <v>84.556929325253378</v>
      </c>
      <c r="D488" s="364">
        <f t="shared" si="189"/>
        <v>1.5589696992212567</v>
      </c>
      <c r="E488" s="364">
        <f t="shared" si="190"/>
        <v>1.0972980652244064</v>
      </c>
      <c r="F488" s="365">
        <f t="shared" si="191"/>
        <v>0.42429446850655683</v>
      </c>
      <c r="G488" s="364">
        <f t="shared" si="192"/>
        <v>2.0439277563654219</v>
      </c>
      <c r="H488" s="365">
        <f t="shared" si="193"/>
        <v>-1.0595620501451894</v>
      </c>
      <c r="I488" s="363">
        <f t="shared" si="194"/>
        <v>248530.25369619502</v>
      </c>
      <c r="J488" s="366">
        <f t="shared" si="195"/>
        <v>1.5707923031398883</v>
      </c>
      <c r="K488" s="374">
        <f t="shared" si="211"/>
        <v>76.902816096489175</v>
      </c>
      <c r="L488" s="375">
        <f t="shared" si="212"/>
        <v>1.5577925353290545</v>
      </c>
      <c r="M488" s="363">
        <f t="shared" si="196"/>
        <v>2.5899101175960761</v>
      </c>
      <c r="N488" s="366">
        <f t="shared" si="197"/>
        <v>1.1743813892633443</v>
      </c>
      <c r="O488" s="367">
        <f t="shared" si="198"/>
        <v>1.4112364679148877</v>
      </c>
      <c r="P488" s="368">
        <f t="shared" si="199"/>
        <v>0.99344023280555172</v>
      </c>
      <c r="Q488" s="369">
        <f t="shared" si="200"/>
        <v>-22.986564872539468</v>
      </c>
      <c r="R488" s="370">
        <f t="shared" si="201"/>
        <v>-250.67239724193124</v>
      </c>
      <c r="S488" s="372">
        <f t="shared" si="202"/>
        <v>-70.672397241931236</v>
      </c>
      <c r="U488" s="345">
        <f t="shared" si="208"/>
        <v>59913</v>
      </c>
      <c r="V488" s="345">
        <f t="shared" si="209"/>
        <v>3589567569</v>
      </c>
      <c r="X488" s="371">
        <f t="shared" si="203"/>
        <v>9.6422400946016609</v>
      </c>
      <c r="Y488" s="372">
        <f t="shared" si="204"/>
        <v>-68.0319290514485</v>
      </c>
      <c r="AA488" s="371">
        <f t="shared" si="205"/>
        <v>24.872420300692877</v>
      </c>
      <c r="AB488" s="372">
        <f t="shared" si="206"/>
        <v>-182.64046819048272</v>
      </c>
      <c r="AD488">
        <f t="shared" si="210"/>
        <v>0</v>
      </c>
      <c r="AE488">
        <f t="shared" si="213"/>
        <v>0</v>
      </c>
    </row>
    <row r="489" spans="1:31" x14ac:dyDescent="0.2">
      <c r="A489" s="373">
        <v>60256</v>
      </c>
      <c r="B489" s="390">
        <f t="shared" si="207"/>
        <v>60.256</v>
      </c>
      <c r="C489" s="363">
        <f t="shared" si="188"/>
        <v>85.040947516024247</v>
      </c>
      <c r="D489" s="364">
        <f t="shared" si="189"/>
        <v>1.5590370146460393</v>
      </c>
      <c r="E489" s="364">
        <f t="shared" si="190"/>
        <v>1.0983652584200174</v>
      </c>
      <c r="F489" s="365">
        <f t="shared" si="191"/>
        <v>0.42644024343283027</v>
      </c>
      <c r="G489" s="364">
        <f t="shared" si="192"/>
        <v>2.0528342852614734</v>
      </c>
      <c r="H489" s="365">
        <f t="shared" si="193"/>
        <v>-1.0619942902259398</v>
      </c>
      <c r="I489" s="363">
        <f t="shared" si="194"/>
        <v>249953.08141332516</v>
      </c>
      <c r="J489" s="366">
        <f t="shared" si="195"/>
        <v>1.5707923260440584</v>
      </c>
      <c r="K489" s="374">
        <f t="shared" si="211"/>
        <v>77.343008015416544</v>
      </c>
      <c r="L489" s="375">
        <f t="shared" si="212"/>
        <v>1.5578665495675359</v>
      </c>
      <c r="M489" s="363">
        <f t="shared" si="196"/>
        <v>2.6025321388443228</v>
      </c>
      <c r="N489" s="366">
        <f t="shared" si="197"/>
        <v>1.1764105695390015</v>
      </c>
      <c r="O489" s="367">
        <f t="shared" si="198"/>
        <v>1.4154813570564051</v>
      </c>
      <c r="P489" s="368">
        <f t="shared" si="199"/>
        <v>0.99761220740365053</v>
      </c>
      <c r="Q489" s="369">
        <f t="shared" si="200"/>
        <v>-23.058255894303347</v>
      </c>
      <c r="R489" s="370">
        <f t="shared" si="201"/>
        <v>-251.04372798761742</v>
      </c>
      <c r="S489" s="372">
        <f t="shared" si="202"/>
        <v>-71.043727987617416</v>
      </c>
      <c r="U489" s="345">
        <f t="shared" si="208"/>
        <v>60256</v>
      </c>
      <c r="V489" s="345">
        <f t="shared" si="209"/>
        <v>3630785536</v>
      </c>
      <c r="X489" s="371">
        <f t="shared" si="203"/>
        <v>9.6000035755933624</v>
      </c>
      <c r="Y489" s="372">
        <f t="shared" si="204"/>
        <v>-68.143953126066265</v>
      </c>
      <c r="AA489" s="371">
        <f t="shared" si="205"/>
        <v>24.842965797937289</v>
      </c>
      <c r="AB489" s="372">
        <f t="shared" si="206"/>
        <v>-182.89977486155115</v>
      </c>
      <c r="AD489">
        <f t="shared" si="210"/>
        <v>0</v>
      </c>
      <c r="AE489">
        <f t="shared" si="213"/>
        <v>0</v>
      </c>
    </row>
    <row r="490" spans="1:31" x14ac:dyDescent="0.2">
      <c r="A490" s="373">
        <v>60607</v>
      </c>
      <c r="B490" s="390">
        <f t="shared" si="207"/>
        <v>60.606999999999999</v>
      </c>
      <c r="C490" s="363">
        <f t="shared" si="188"/>
        <v>85.536255155177926</v>
      </c>
      <c r="D490" s="364">
        <f t="shared" si="189"/>
        <v>1.5591051114231005</v>
      </c>
      <c r="E490" s="364">
        <f t="shared" si="190"/>
        <v>1.0994625676862069</v>
      </c>
      <c r="F490" s="365">
        <f t="shared" si="191"/>
        <v>0.42863174276402827</v>
      </c>
      <c r="G490" s="364">
        <f t="shared" si="192"/>
        <v>2.061961008999293</v>
      </c>
      <c r="H490" s="365">
        <f t="shared" si="193"/>
        <v>-1.0644614912830748</v>
      </c>
      <c r="I490" s="363">
        <f t="shared" si="194"/>
        <v>251409.09461656926</v>
      </c>
      <c r="J490" s="366">
        <f t="shared" si="195"/>
        <v>1.5707923492140476</v>
      </c>
      <c r="K490" s="374">
        <f t="shared" si="211"/>
        <v>77.793467234867464</v>
      </c>
      <c r="L490" s="375">
        <f t="shared" si="212"/>
        <v>1.5579414229385444</v>
      </c>
      <c r="M490" s="363">
        <f t="shared" si="196"/>
        <v>2.6154595368431486</v>
      </c>
      <c r="N490" s="366">
        <f t="shared" si="197"/>
        <v>1.1784667930626578</v>
      </c>
      <c r="O490" s="367">
        <f t="shared" si="198"/>
        <v>1.419842204519578</v>
      </c>
      <c r="P490" s="368">
        <f t="shared" si="199"/>
        <v>1.0018648369611205</v>
      </c>
      <c r="Q490" s="369">
        <f t="shared" si="200"/>
        <v>-23.131259426863657</v>
      </c>
      <c r="R490" s="370">
        <f t="shared" si="201"/>
        <v>-251.42060824577527</v>
      </c>
      <c r="S490" s="372">
        <f t="shared" si="202"/>
        <v>-71.42060824577527</v>
      </c>
      <c r="U490" s="345">
        <f t="shared" si="208"/>
        <v>60607</v>
      </c>
      <c r="V490" s="345">
        <f t="shared" si="209"/>
        <v>3673208449</v>
      </c>
      <c r="X490" s="371">
        <f t="shared" si="203"/>
        <v>9.5569571066888024</v>
      </c>
      <c r="Y490" s="372">
        <f t="shared" si="204"/>
        <v>-68.257477455222897</v>
      </c>
      <c r="AA490" s="371">
        <f t="shared" si="205"/>
        <v>24.813008734281542</v>
      </c>
      <c r="AB490" s="372">
        <f t="shared" si="206"/>
        <v>-183.1631307905524</v>
      </c>
      <c r="AD490">
        <f t="shared" si="210"/>
        <v>0</v>
      </c>
      <c r="AE490">
        <f t="shared" si="213"/>
        <v>0</v>
      </c>
    </row>
    <row r="491" spans="1:31" x14ac:dyDescent="0.2">
      <c r="A491" s="373">
        <v>60958</v>
      </c>
      <c r="B491" s="390">
        <f t="shared" si="207"/>
        <v>60.957999999999998</v>
      </c>
      <c r="C491" s="363">
        <f t="shared" si="188"/>
        <v>86.031563186410651</v>
      </c>
      <c r="D491" s="364">
        <f t="shared" si="189"/>
        <v>1.5591724240956766</v>
      </c>
      <c r="E491" s="364">
        <f t="shared" si="190"/>
        <v>1.1005651467632929</v>
      </c>
      <c r="F491" s="365">
        <f t="shared" si="191"/>
        <v>0.4308188615626044</v>
      </c>
      <c r="G491" s="364">
        <f t="shared" si="192"/>
        <v>2.0711001733966525</v>
      </c>
      <c r="H491" s="365">
        <f t="shared" si="193"/>
        <v>-1.0669069330311578</v>
      </c>
      <c r="I491" s="363">
        <f t="shared" si="194"/>
        <v>252865.10781981351</v>
      </c>
      <c r="J491" s="366">
        <f t="shared" si="195"/>
        <v>1.5707923721172086</v>
      </c>
      <c r="K491" s="374">
        <f t="shared" si="211"/>
        <v>78.243926885408754</v>
      </c>
      <c r="L491" s="375">
        <f t="shared" si="212"/>
        <v>1.5580154342000501</v>
      </c>
      <c r="M491" s="363">
        <f t="shared" si="196"/>
        <v>2.6283978843447007</v>
      </c>
      <c r="N491" s="366">
        <f t="shared" si="197"/>
        <v>1.1805027815113558</v>
      </c>
      <c r="O491" s="367">
        <f t="shared" si="198"/>
        <v>1.4242201327431097</v>
      </c>
      <c r="P491" s="368">
        <f t="shared" si="199"/>
        <v>1.0061007013826302</v>
      </c>
      <c r="Q491" s="369">
        <f t="shared" si="200"/>
        <v>-23.203902878107009</v>
      </c>
      <c r="R491" s="370">
        <f t="shared" si="201"/>
        <v>-251.79437727153052</v>
      </c>
      <c r="S491" s="372">
        <f t="shared" si="202"/>
        <v>-71.794377271530522</v>
      </c>
      <c r="U491" s="345">
        <f t="shared" si="208"/>
        <v>60958</v>
      </c>
      <c r="V491" s="345">
        <f t="shared" si="209"/>
        <v>3715877764</v>
      </c>
      <c r="X491" s="371">
        <f t="shared" si="203"/>
        <v>9.5140867982581163</v>
      </c>
      <c r="Y491" s="372">
        <f t="shared" si="204"/>
        <v>-68.369891779932871</v>
      </c>
      <c r="AA491" s="371">
        <f t="shared" si="205"/>
        <v>24.783235591468873</v>
      </c>
      <c r="AB491" s="372">
        <f t="shared" si="206"/>
        <v>-183.42448549159764</v>
      </c>
      <c r="AD491">
        <f t="shared" si="210"/>
        <v>0</v>
      </c>
      <c r="AE491">
        <f t="shared" si="213"/>
        <v>0</v>
      </c>
    </row>
    <row r="492" spans="1:31" x14ac:dyDescent="0.2">
      <c r="A492" s="373">
        <v>61309</v>
      </c>
      <c r="B492" s="390">
        <f t="shared" si="207"/>
        <v>61.308999999999997</v>
      </c>
      <c r="C492" s="363">
        <f t="shared" si="188"/>
        <v>86.526871602989246</v>
      </c>
      <c r="D492" s="364">
        <f t="shared" si="189"/>
        <v>1.5592389661285719</v>
      </c>
      <c r="E492" s="364">
        <f t="shared" si="190"/>
        <v>1.1016729798288405</v>
      </c>
      <c r="F492" s="365">
        <f t="shared" si="191"/>
        <v>0.43300159208832323</v>
      </c>
      <c r="G492" s="364">
        <f t="shared" si="192"/>
        <v>2.080251614487</v>
      </c>
      <c r="H492" s="365">
        <f t="shared" si="193"/>
        <v>-1.0693308731984055</v>
      </c>
      <c r="I492" s="363">
        <f t="shared" si="194"/>
        <v>254321.1210230579</v>
      </c>
      <c r="J492" s="366">
        <f t="shared" si="195"/>
        <v>1.5707923947581237</v>
      </c>
      <c r="K492" s="374">
        <f t="shared" si="211"/>
        <v>78.694386959637512</v>
      </c>
      <c r="L492" s="375">
        <f t="shared" si="212"/>
        <v>1.5580885981558195</v>
      </c>
      <c r="M492" s="363">
        <f t="shared" si="196"/>
        <v>2.6413470204441847</v>
      </c>
      <c r="N492" s="366">
        <f t="shared" si="197"/>
        <v>1.1825188154864728</v>
      </c>
      <c r="O492" s="367">
        <f t="shared" si="198"/>
        <v>1.4286150751300577</v>
      </c>
      <c r="P492" s="368">
        <f t="shared" si="199"/>
        <v>1.0103198788105745</v>
      </c>
      <c r="Q492" s="369">
        <f t="shared" si="200"/>
        <v>-23.27618986198032</v>
      </c>
      <c r="R492" s="370">
        <f t="shared" si="201"/>
        <v>-252.16507075315477</v>
      </c>
      <c r="S492" s="372">
        <f t="shared" si="202"/>
        <v>-72.165070753154765</v>
      </c>
      <c r="U492" s="345">
        <f t="shared" si="208"/>
        <v>61309</v>
      </c>
      <c r="V492" s="345">
        <f t="shared" si="209"/>
        <v>3758793481</v>
      </c>
      <c r="X492" s="371">
        <f t="shared" si="203"/>
        <v>9.4713916256108739</v>
      </c>
      <c r="Y492" s="372">
        <f t="shared" si="204"/>
        <v>-68.481211329540074</v>
      </c>
      <c r="AA492" s="371">
        <f t="shared" si="205"/>
        <v>24.753643780242808</v>
      </c>
      <c r="AB492" s="372">
        <f t="shared" si="206"/>
        <v>-183.68385942361468</v>
      </c>
      <c r="AD492">
        <f t="shared" si="210"/>
        <v>0</v>
      </c>
      <c r="AE492">
        <f t="shared" si="213"/>
        <v>0</v>
      </c>
    </row>
    <row r="493" spans="1:31" x14ac:dyDescent="0.2">
      <c r="A493" s="373">
        <v>61660</v>
      </c>
      <c r="B493" s="390">
        <f t="shared" si="207"/>
        <v>61.66</v>
      </c>
      <c r="C493" s="363">
        <f t="shared" si="188"/>
        <v>87.022180398333845</v>
      </c>
      <c r="D493" s="364">
        <f t="shared" si="189"/>
        <v>1.5593047506800655</v>
      </c>
      <c r="E493" s="364">
        <f t="shared" si="190"/>
        <v>1.1027860510487477</v>
      </c>
      <c r="F493" s="365">
        <f t="shared" si="191"/>
        <v>0.4351799267992334</v>
      </c>
      <c r="G493" s="364">
        <f t="shared" si="192"/>
        <v>2.0894151709580746</v>
      </c>
      <c r="H493" s="365">
        <f t="shared" si="193"/>
        <v>-1.0717335660115246</v>
      </c>
      <c r="I493" s="363">
        <f t="shared" si="194"/>
        <v>255777.13422630238</v>
      </c>
      <c r="J493" s="366">
        <f t="shared" si="195"/>
        <v>1.5707924171412717</v>
      </c>
      <c r="K493" s="374">
        <f t="shared" si="211"/>
        <v>79.144847450319389</v>
      </c>
      <c r="L493" s="375">
        <f t="shared" si="212"/>
        <v>1.5581609292726284</v>
      </c>
      <c r="M493" s="363">
        <f t="shared" si="196"/>
        <v>2.6543067872438555</v>
      </c>
      <c r="N493" s="366">
        <f t="shared" si="197"/>
        <v>1.1845151707648822</v>
      </c>
      <c r="O493" s="367">
        <f t="shared" si="198"/>
        <v>1.4330269658134702</v>
      </c>
      <c r="P493" s="368">
        <f t="shared" si="199"/>
        <v>1.0145224475475798</v>
      </c>
      <c r="Q493" s="369">
        <f t="shared" si="200"/>
        <v>-23.348123932787189</v>
      </c>
      <c r="R493" s="370">
        <f t="shared" si="201"/>
        <v>-252.5327239014336</v>
      </c>
      <c r="S493" s="372">
        <f t="shared" si="202"/>
        <v>-72.532723901433599</v>
      </c>
      <c r="U493" s="345">
        <f t="shared" si="208"/>
        <v>61660</v>
      </c>
      <c r="V493" s="345">
        <f t="shared" si="209"/>
        <v>3801955600</v>
      </c>
      <c r="X493" s="371">
        <f t="shared" si="203"/>
        <v>9.4288705645506727</v>
      </c>
      <c r="Y493" s="372">
        <f t="shared" si="204"/>
        <v>-68.591451076266878</v>
      </c>
      <c r="AA493" s="371">
        <f t="shared" si="205"/>
        <v>24.724230770496138</v>
      </c>
      <c r="AB493" s="372">
        <f t="shared" si="206"/>
        <v>-183.94127282516672</v>
      </c>
      <c r="AD493">
        <f t="shared" si="210"/>
        <v>0</v>
      </c>
      <c r="AE493">
        <f t="shared" si="213"/>
        <v>0</v>
      </c>
    </row>
    <row r="494" spans="1:31" x14ac:dyDescent="0.2">
      <c r="A494" s="373">
        <v>62019</v>
      </c>
      <c r="B494" s="390">
        <f t="shared" si="207"/>
        <v>62.018999999999998</v>
      </c>
      <c r="C494" s="363">
        <f t="shared" si="188"/>
        <v>87.528778668142522</v>
      </c>
      <c r="D494" s="364">
        <f t="shared" si="189"/>
        <v>1.5593712644223883</v>
      </c>
      <c r="E494" s="364">
        <f t="shared" si="190"/>
        <v>1.1039298934950099</v>
      </c>
      <c r="F494" s="365">
        <f t="shared" si="191"/>
        <v>0.43740335526938495</v>
      </c>
      <c r="G494" s="364">
        <f t="shared" si="192"/>
        <v>2.0987999507401121</v>
      </c>
      <c r="H494" s="365">
        <f t="shared" si="193"/>
        <v>-1.0741693031355246</v>
      </c>
      <c r="I494" s="363">
        <f t="shared" si="194"/>
        <v>257266.33291566087</v>
      </c>
      <c r="J494" s="366">
        <f t="shared" si="195"/>
        <v>1.5707924397724919</v>
      </c>
      <c r="K494" s="374">
        <f t="shared" si="211"/>
        <v>79.605575270201982</v>
      </c>
      <c r="L494" s="375">
        <f t="shared" si="212"/>
        <v>1.5582340621691004</v>
      </c>
      <c r="M494" s="363">
        <f t="shared" si="196"/>
        <v>2.6675727687519806</v>
      </c>
      <c r="N494" s="366">
        <f t="shared" si="197"/>
        <v>1.1865369529206113</v>
      </c>
      <c r="O494" s="367">
        <f t="shared" si="198"/>
        <v>1.4375568766454956</v>
      </c>
      <c r="P494" s="368">
        <f t="shared" si="199"/>
        <v>1.0188037022676142</v>
      </c>
      <c r="Q494" s="369">
        <f t="shared" si="200"/>
        <v>-23.421336100047867</v>
      </c>
      <c r="R494" s="370">
        <f t="shared" si="201"/>
        <v>-252.90564774985262</v>
      </c>
      <c r="S494" s="372">
        <f t="shared" si="202"/>
        <v>-72.905647749852619</v>
      </c>
      <c r="U494" s="345">
        <f t="shared" si="208"/>
        <v>62019</v>
      </c>
      <c r="V494" s="345">
        <f t="shared" si="209"/>
        <v>3846356361</v>
      </c>
      <c r="X494" s="371">
        <f t="shared" si="203"/>
        <v>9.3855594051692446</v>
      </c>
      <c r="Y494" s="372">
        <f t="shared" si="204"/>
        <v>-68.703101751374575</v>
      </c>
      <c r="AA494" s="371">
        <f t="shared" si="205"/>
        <v>24.694329762616889</v>
      </c>
      <c r="AB494" s="372">
        <f t="shared" si="206"/>
        <v>-184.20254599847806</v>
      </c>
      <c r="AD494">
        <f t="shared" si="210"/>
        <v>0</v>
      </c>
      <c r="AE494">
        <f t="shared" si="213"/>
        <v>0</v>
      </c>
    </row>
    <row r="495" spans="1:31" x14ac:dyDescent="0.2">
      <c r="A495" s="373">
        <v>62378</v>
      </c>
      <c r="B495" s="390">
        <f t="shared" si="207"/>
        <v>62.378</v>
      </c>
      <c r="C495" s="363">
        <f t="shared" si="188"/>
        <v>88.035377320728685</v>
      </c>
      <c r="D495" s="364">
        <f t="shared" si="189"/>
        <v>1.5594370126597383</v>
      </c>
      <c r="E495" s="364">
        <f t="shared" si="190"/>
        <v>1.1050791820533714</v>
      </c>
      <c r="F495" s="365">
        <f t="shared" si="191"/>
        <v>0.43962216993337672</v>
      </c>
      <c r="G495" s="364">
        <f t="shared" si="192"/>
        <v>2.1081970714118472</v>
      </c>
      <c r="H495" s="365">
        <f t="shared" si="193"/>
        <v>-1.0765833402666347</v>
      </c>
      <c r="I495" s="363">
        <f t="shared" si="194"/>
        <v>258755.53160501944</v>
      </c>
      <c r="J495" s="366">
        <f t="shared" si="195"/>
        <v>1.5707924621432163</v>
      </c>
      <c r="K495" s="374">
        <f t="shared" si="211"/>
        <v>80.0663035109487</v>
      </c>
      <c r="L495" s="375">
        <f t="shared" si="212"/>
        <v>1.5583063534037516</v>
      </c>
      <c r="M495" s="363">
        <f t="shared" si="196"/>
        <v>2.6808495462979045</v>
      </c>
      <c r="N495" s="366">
        <f t="shared" si="197"/>
        <v>1.1885387176349553</v>
      </c>
      <c r="O495" s="367">
        <f t="shared" si="198"/>
        <v>1.4421043800953344</v>
      </c>
      <c r="P495" s="368">
        <f t="shared" si="199"/>
        <v>1.0230677487042283</v>
      </c>
      <c r="Q495" s="369">
        <f t="shared" si="200"/>
        <v>-23.494186419696593</v>
      </c>
      <c r="R495" s="370">
        <f t="shared" si="201"/>
        <v>-253.27546410350047</v>
      </c>
      <c r="S495" s="372">
        <f t="shared" si="202"/>
        <v>-73.275464103500468</v>
      </c>
      <c r="U495" s="345">
        <f t="shared" si="208"/>
        <v>62378</v>
      </c>
      <c r="V495" s="345">
        <f t="shared" si="209"/>
        <v>3891014884</v>
      </c>
      <c r="X495" s="371">
        <f t="shared" si="203"/>
        <v>9.342428220223951</v>
      </c>
      <c r="Y495" s="372">
        <f t="shared" si="204"/>
        <v>-68.813653720317802</v>
      </c>
      <c r="AA495" s="371">
        <f t="shared" si="205"/>
        <v>24.664610627913458</v>
      </c>
      <c r="AB495" s="372">
        <f t="shared" si="206"/>
        <v>-184.46181038318267</v>
      </c>
      <c r="AD495">
        <f t="shared" si="210"/>
        <v>0</v>
      </c>
      <c r="AE495">
        <f t="shared" si="213"/>
        <v>0</v>
      </c>
    </row>
    <row r="496" spans="1:31" x14ac:dyDescent="0.2">
      <c r="A496" s="373">
        <v>62737</v>
      </c>
      <c r="B496" s="390">
        <f t="shared" si="207"/>
        <v>62.737000000000002</v>
      </c>
      <c r="C496" s="363">
        <f t="shared" si="188"/>
        <v>88.541976349522059</v>
      </c>
      <c r="D496" s="364">
        <f t="shared" si="189"/>
        <v>1.5595020085312108</v>
      </c>
      <c r="E496" s="364">
        <f t="shared" si="190"/>
        <v>1.1062338997496075</v>
      </c>
      <c r="F496" s="365">
        <f t="shared" si="191"/>
        <v>0.441836363358381</v>
      </c>
      <c r="G496" s="364">
        <f t="shared" si="192"/>
        <v>2.1176063686809545</v>
      </c>
      <c r="H496" s="365">
        <f t="shared" si="193"/>
        <v>-1.0789759383433</v>
      </c>
      <c r="I496" s="363">
        <f t="shared" si="194"/>
        <v>260244.73029437815</v>
      </c>
      <c r="J496" s="366">
        <f t="shared" si="195"/>
        <v>1.5707924842579166</v>
      </c>
      <c r="K496" s="374">
        <f t="shared" si="211"/>
        <v>80.527032165335726</v>
      </c>
      <c r="L496" s="375">
        <f t="shared" si="212"/>
        <v>1.558377817422312</v>
      </c>
      <c r="M496" s="363">
        <f t="shared" si="196"/>
        <v>2.6941369602721603</v>
      </c>
      <c r="N496" s="366">
        <f t="shared" si="197"/>
        <v>1.1905207449224302</v>
      </c>
      <c r="O496" s="367">
        <f t="shared" si="198"/>
        <v>1.4466694080361708</v>
      </c>
      <c r="P496" s="368">
        <f t="shared" si="199"/>
        <v>1.0273146710385463</v>
      </c>
      <c r="Q496" s="369">
        <f t="shared" si="200"/>
        <v>-23.566678509903692</v>
      </c>
      <c r="R496" s="370">
        <f t="shared" si="201"/>
        <v>-253.64220913118322</v>
      </c>
      <c r="S496" s="372">
        <f t="shared" si="202"/>
        <v>-73.642209131183222</v>
      </c>
      <c r="U496" s="345">
        <f t="shared" si="208"/>
        <v>62737</v>
      </c>
      <c r="V496" s="345">
        <f t="shared" si="209"/>
        <v>3935931169</v>
      </c>
      <c r="X496" s="371">
        <f t="shared" si="203"/>
        <v>9.2994759175139237</v>
      </c>
      <c r="Y496" s="372">
        <f t="shared" si="204"/>
        <v>-68.923122199323416</v>
      </c>
      <c r="AA496" s="371">
        <f t="shared" si="205"/>
        <v>24.63507084041639</v>
      </c>
      <c r="AB496" s="372">
        <f t="shared" si="206"/>
        <v>-184.71908693185975</v>
      </c>
      <c r="AD496">
        <f t="shared" si="210"/>
        <v>0</v>
      </c>
      <c r="AE496">
        <f t="shared" si="213"/>
        <v>0</v>
      </c>
    </row>
    <row r="497" spans="1:31" x14ac:dyDescent="0.2">
      <c r="A497" s="373">
        <v>63096</v>
      </c>
      <c r="B497" s="390">
        <f t="shared" si="207"/>
        <v>63.095999999999997</v>
      </c>
      <c r="C497" s="363">
        <f t="shared" si="188"/>
        <v>89.048575748101882</v>
      </c>
      <c r="D497" s="364">
        <f t="shared" si="189"/>
        <v>1.5595662648769324</v>
      </c>
      <c r="E497" s="364">
        <f t="shared" si="190"/>
        <v>1.107394029600274</v>
      </c>
      <c r="F497" s="365">
        <f t="shared" si="191"/>
        <v>0.44404592832374828</v>
      </c>
      <c r="G497" s="364">
        <f t="shared" si="192"/>
        <v>2.1270276809512008</v>
      </c>
      <c r="H497" s="365">
        <f t="shared" si="193"/>
        <v>-1.0813473546716494</v>
      </c>
      <c r="I497" s="363">
        <f t="shared" si="194"/>
        <v>261733.92898373705</v>
      </c>
      <c r="J497" s="366">
        <f t="shared" si="195"/>
        <v>1.5707925061209631</v>
      </c>
      <c r="K497" s="374">
        <f t="shared" si="211"/>
        <v>80.987761226303633</v>
      </c>
      <c r="L497" s="375">
        <f t="shared" si="212"/>
        <v>1.5584484683418267</v>
      </c>
      <c r="M497" s="363">
        <f t="shared" si="196"/>
        <v>2.7074348540719533</v>
      </c>
      <c r="N497" s="366">
        <f t="shared" si="197"/>
        <v>1.1924833099231718</v>
      </c>
      <c r="O497" s="367">
        <f t="shared" si="198"/>
        <v>1.451251893124456</v>
      </c>
      <c r="P497" s="368">
        <f t="shared" si="199"/>
        <v>1.0315445535485857</v>
      </c>
      <c r="Q497" s="369">
        <f t="shared" si="200"/>
        <v>-23.638815929433321</v>
      </c>
      <c r="R497" s="370">
        <f t="shared" si="201"/>
        <v>-254.00591850940026</v>
      </c>
      <c r="S497" s="372">
        <f t="shared" si="202"/>
        <v>-74.00591850940026</v>
      </c>
      <c r="U497" s="345">
        <f t="shared" si="208"/>
        <v>63096</v>
      </c>
      <c r="V497" s="345">
        <f t="shared" si="209"/>
        <v>3981105216</v>
      </c>
      <c r="X497" s="371">
        <f t="shared" si="203"/>
        <v>9.2567014066940132</v>
      </c>
      <c r="Y497" s="372">
        <f t="shared" si="204"/>
        <v>-69.031522144163219</v>
      </c>
      <c r="AA497" s="371">
        <f t="shared" si="205"/>
        <v>24.605707931706672</v>
      </c>
      <c r="AB497" s="372">
        <f t="shared" si="206"/>
        <v>-184.97439636523703</v>
      </c>
      <c r="AD497">
        <f t="shared" si="210"/>
        <v>0</v>
      </c>
      <c r="AE497">
        <f t="shared" si="213"/>
        <v>0</v>
      </c>
    </row>
    <row r="498" spans="1:31" x14ac:dyDescent="0.2">
      <c r="A498" s="373">
        <v>63463.25</v>
      </c>
      <c r="B498" s="390">
        <f t="shared" si="207"/>
        <v>63.463250000000002</v>
      </c>
      <c r="C498" s="363">
        <f t="shared" si="188"/>
        <v>89.566817430954927</v>
      </c>
      <c r="D498" s="364">
        <f t="shared" si="189"/>
        <v>1.5596312457359554</v>
      </c>
      <c r="E498" s="364">
        <f t="shared" si="190"/>
        <v>1.1085864022444241</v>
      </c>
      <c r="F498" s="365">
        <f t="shared" si="191"/>
        <v>0.44630147366410111</v>
      </c>
      <c r="G498" s="364">
        <f t="shared" si="192"/>
        <v>2.1366777663253047</v>
      </c>
      <c r="H498" s="365">
        <f t="shared" si="193"/>
        <v>-1.0837516143703487</v>
      </c>
      <c r="I498" s="363">
        <f t="shared" si="194"/>
        <v>263257.3502056509</v>
      </c>
      <c r="J498" s="366">
        <f t="shared" si="195"/>
        <v>1.5707925282304911</v>
      </c>
      <c r="K498" s="374">
        <f t="shared" si="211"/>
        <v>81.459078485609055</v>
      </c>
      <c r="L498" s="375">
        <f t="shared" si="212"/>
        <v>1.5585199158974206</v>
      </c>
      <c r="M498" s="363">
        <f t="shared" si="196"/>
        <v>2.7210490237773337</v>
      </c>
      <c r="N498" s="366">
        <f t="shared" si="197"/>
        <v>1.1944711192149526</v>
      </c>
      <c r="O498" s="367">
        <f t="shared" si="198"/>
        <v>1.4559576801362009</v>
      </c>
      <c r="P498" s="368">
        <f t="shared" si="199"/>
        <v>1.0358540971357593</v>
      </c>
      <c r="Q498" s="369">
        <f t="shared" si="200"/>
        <v>-23.712247762682978</v>
      </c>
      <c r="R498" s="370">
        <f t="shared" si="201"/>
        <v>-254.3748817093385</v>
      </c>
      <c r="S498" s="372">
        <f t="shared" si="202"/>
        <v>-74.374881709338496</v>
      </c>
      <c r="U498" s="345">
        <f t="shared" si="208"/>
        <v>63463.25</v>
      </c>
      <c r="V498" s="345">
        <f t="shared" si="209"/>
        <v>4027584100.5625</v>
      </c>
      <c r="X498" s="371">
        <f t="shared" si="203"/>
        <v>9.213126749017734</v>
      </c>
      <c r="Y498" s="372">
        <f t="shared" si="204"/>
        <v>-69.141322850575222</v>
      </c>
      <c r="AA498" s="371">
        <f t="shared" si="205"/>
        <v>24.575850756133288</v>
      </c>
      <c r="AB498" s="372">
        <f t="shared" si="206"/>
        <v>-185.23355885876327</v>
      </c>
      <c r="AD498">
        <f t="shared" si="210"/>
        <v>0</v>
      </c>
      <c r="AE498">
        <f t="shared" si="213"/>
        <v>0</v>
      </c>
    </row>
    <row r="499" spans="1:31" x14ac:dyDescent="0.2">
      <c r="A499" s="373">
        <v>63830.5</v>
      </c>
      <c r="B499" s="390">
        <f t="shared" si="207"/>
        <v>63.830500000000001</v>
      </c>
      <c r="C499" s="363">
        <f t="shared" si="188"/>
        <v>90.085059487653552</v>
      </c>
      <c r="D499" s="364">
        <f t="shared" si="189"/>
        <v>1.5596954789504271</v>
      </c>
      <c r="E499" s="364">
        <f t="shared" si="190"/>
        <v>1.10978440266905</v>
      </c>
      <c r="F499" s="365">
        <f t="shared" si="191"/>
        <v>0.44855216075997167</v>
      </c>
      <c r="G499" s="364">
        <f t="shared" si="192"/>
        <v>2.1463400915866595</v>
      </c>
      <c r="H499" s="365">
        <f t="shared" si="193"/>
        <v>-1.0861342408996264</v>
      </c>
      <c r="I499" s="363">
        <f t="shared" si="194"/>
        <v>264780.77142756496</v>
      </c>
      <c r="J499" s="366">
        <f t="shared" si="195"/>
        <v>1.5707925500856039</v>
      </c>
      <c r="K499" s="374">
        <f t="shared" si="211"/>
        <v>81.930396155958732</v>
      </c>
      <c r="L499" s="375">
        <f t="shared" si="212"/>
        <v>1.5585905414264554</v>
      </c>
      <c r="M499" s="363">
        <f t="shared" si="196"/>
        <v>2.73467383831886</v>
      </c>
      <c r="N499" s="366">
        <f t="shared" si="197"/>
        <v>1.1964391287136169</v>
      </c>
      <c r="O499" s="367">
        <f t="shared" si="198"/>
        <v>1.4606815957858574</v>
      </c>
      <c r="P499" s="368">
        <f t="shared" si="199"/>
        <v>1.0401459873823808</v>
      </c>
      <c r="Q499" s="369">
        <f t="shared" si="200"/>
        <v>-23.785315786503588</v>
      </c>
      <c r="R499" s="370">
        <f t="shared" si="201"/>
        <v>-254.74074211758193</v>
      </c>
      <c r="S499" s="372">
        <f t="shared" si="202"/>
        <v>-74.740742117581931</v>
      </c>
      <c r="U499" s="345">
        <f t="shared" si="208"/>
        <v>63830.5</v>
      </c>
      <c r="V499" s="345">
        <f t="shared" si="209"/>
        <v>4074332730.25</v>
      </c>
      <c r="X499" s="371">
        <f t="shared" si="203"/>
        <v>9.1697358475103758</v>
      </c>
      <c r="Y499" s="372">
        <f t="shared" si="204"/>
        <v>-69.250036196480721</v>
      </c>
      <c r="AA499" s="371">
        <f t="shared" si="205"/>
        <v>24.54617363382004</v>
      </c>
      <c r="AB499" s="372">
        <f t="shared" si="206"/>
        <v>-185.49070592110127</v>
      </c>
      <c r="AD499">
        <f t="shared" si="210"/>
        <v>0</v>
      </c>
      <c r="AE499">
        <f t="shared" si="213"/>
        <v>0</v>
      </c>
    </row>
    <row r="500" spans="1:31" x14ac:dyDescent="0.2">
      <c r="A500" s="373">
        <v>64197.75</v>
      </c>
      <c r="B500" s="390">
        <f t="shared" si="207"/>
        <v>64.197749999999999</v>
      </c>
      <c r="C500" s="363">
        <f t="shared" si="188"/>
        <v>90.60330191178268</v>
      </c>
      <c r="D500" s="364">
        <f t="shared" si="189"/>
        <v>1.5597589773491845</v>
      </c>
      <c r="E500" s="364">
        <f t="shared" si="190"/>
        <v>1.1109880126685099</v>
      </c>
      <c r="F500" s="365">
        <f t="shared" si="191"/>
        <v>0.45079798256240383</v>
      </c>
      <c r="G500" s="364">
        <f t="shared" si="192"/>
        <v>2.1560144921736151</v>
      </c>
      <c r="H500" s="365">
        <f t="shared" si="193"/>
        <v>-1.0884954982395147</v>
      </c>
      <c r="I500" s="363">
        <f t="shared" si="194"/>
        <v>266304.19264947902</v>
      </c>
      <c r="J500" s="366">
        <f t="shared" si="195"/>
        <v>1.5707925716906677</v>
      </c>
      <c r="K500" s="374">
        <f t="shared" si="211"/>
        <v>82.401714230299447</v>
      </c>
      <c r="L500" s="375">
        <f t="shared" si="212"/>
        <v>1.5586603590336054</v>
      </c>
      <c r="M500" s="363">
        <f t="shared" si="196"/>
        <v>2.7483091393803747</v>
      </c>
      <c r="N500" s="366">
        <f t="shared" si="197"/>
        <v>1.1983876177609947</v>
      </c>
      <c r="O500" s="367">
        <f t="shared" si="198"/>
        <v>1.4654235704961733</v>
      </c>
      <c r="P500" s="368">
        <f t="shared" si="199"/>
        <v>1.0444203147064379</v>
      </c>
      <c r="Q500" s="369">
        <f t="shared" si="200"/>
        <v>-23.858023626599593</v>
      </c>
      <c r="R500" s="370">
        <f t="shared" si="201"/>
        <v>-255.10353637577492</v>
      </c>
      <c r="S500" s="372">
        <f t="shared" si="202"/>
        <v>-75.103536375774922</v>
      </c>
      <c r="U500" s="345">
        <f t="shared" si="208"/>
        <v>64197.75</v>
      </c>
      <c r="V500" s="345">
        <f t="shared" si="209"/>
        <v>4121351105.0625</v>
      </c>
      <c r="X500" s="371">
        <f t="shared" si="203"/>
        <v>9.1265275427890806</v>
      </c>
      <c r="Y500" s="372">
        <f t="shared" si="204"/>
        <v>-69.357677379099485</v>
      </c>
      <c r="AA500" s="371">
        <f t="shared" si="205"/>
        <v>24.516674098445328</v>
      </c>
      <c r="AB500" s="372">
        <f t="shared" si="206"/>
        <v>-185.74585899667545</v>
      </c>
      <c r="AD500">
        <f t="shared" si="210"/>
        <v>0</v>
      </c>
      <c r="AE500">
        <f t="shared" si="213"/>
        <v>0</v>
      </c>
    </row>
    <row r="501" spans="1:31" x14ac:dyDescent="0.2">
      <c r="A501" s="373">
        <v>64565</v>
      </c>
      <c r="B501" s="390">
        <f t="shared" si="207"/>
        <v>64.564999999999998</v>
      </c>
      <c r="C501" s="363">
        <f t="shared" si="188"/>
        <v>91.121544697073148</v>
      </c>
      <c r="D501" s="364">
        <f t="shared" si="189"/>
        <v>1.5598217534692376</v>
      </c>
      <c r="E501" s="364">
        <f t="shared" si="190"/>
        <v>1.1121972140309069</v>
      </c>
      <c r="F501" s="365">
        <f t="shared" si="191"/>
        <v>0.45303893224919511</v>
      </c>
      <c r="G501" s="364">
        <f t="shared" si="192"/>
        <v>2.1657008062611416</v>
      </c>
      <c r="H501" s="365">
        <f t="shared" si="193"/>
        <v>-1.0908356466093527</v>
      </c>
      <c r="I501" s="363">
        <f t="shared" si="194"/>
        <v>267827.61387139332</v>
      </c>
      <c r="J501" s="366">
        <f t="shared" si="195"/>
        <v>1.5707925930499496</v>
      </c>
      <c r="K501" s="374">
        <f t="shared" si="211"/>
        <v>82.873032701738424</v>
      </c>
      <c r="L501" s="375">
        <f t="shared" si="212"/>
        <v>1.5587293825027109</v>
      </c>
      <c r="M501" s="363">
        <f t="shared" si="196"/>
        <v>2.7619547716513839</v>
      </c>
      <c r="N501" s="366">
        <f t="shared" si="197"/>
        <v>1.2003168607777623</v>
      </c>
      <c r="O501" s="367">
        <f t="shared" si="198"/>
        <v>1.4701835355285213</v>
      </c>
      <c r="P501" s="368">
        <f t="shared" si="199"/>
        <v>1.0486771695530739</v>
      </c>
      <c r="Q501" s="369">
        <f t="shared" si="200"/>
        <v>-23.930374849487002</v>
      </c>
      <c r="R501" s="370">
        <f t="shared" si="201"/>
        <v>-255.46330061834868</v>
      </c>
      <c r="S501" s="372">
        <f t="shared" si="202"/>
        <v>-75.463300618348683</v>
      </c>
      <c r="U501" s="345">
        <f t="shared" si="208"/>
        <v>64565</v>
      </c>
      <c r="V501" s="345">
        <f t="shared" si="209"/>
        <v>4168639225</v>
      </c>
      <c r="X501" s="371">
        <f t="shared" si="203"/>
        <v>9.0835006786949517</v>
      </c>
      <c r="Y501" s="372">
        <f t="shared" si="204"/>
        <v>-69.464261332066769</v>
      </c>
      <c r="AA501" s="371">
        <f t="shared" si="205"/>
        <v>24.487349739652039</v>
      </c>
      <c r="AB501" s="372">
        <f t="shared" si="206"/>
        <v>-185.99903928628186</v>
      </c>
      <c r="AD501">
        <f t="shared" si="210"/>
        <v>0</v>
      </c>
      <c r="AE501">
        <f t="shared" si="213"/>
        <v>0</v>
      </c>
    </row>
    <row r="502" spans="1:31" x14ac:dyDescent="0.2">
      <c r="A502" s="373">
        <v>64941</v>
      </c>
      <c r="B502" s="390">
        <f t="shared" si="207"/>
        <v>64.941000000000003</v>
      </c>
      <c r="C502" s="363">
        <f t="shared" si="188"/>
        <v>91.652135363741877</v>
      </c>
      <c r="D502" s="364">
        <f t="shared" si="189"/>
        <v>1.5598852897732829</v>
      </c>
      <c r="E502" s="364">
        <f t="shared" si="190"/>
        <v>1.1134409992547152</v>
      </c>
      <c r="F502" s="365">
        <f t="shared" si="191"/>
        <v>0.45532821969367082</v>
      </c>
      <c r="G502" s="364">
        <f t="shared" si="192"/>
        <v>2.1756300803580477</v>
      </c>
      <c r="H502" s="365">
        <f t="shared" si="193"/>
        <v>-1.0932099492005449</v>
      </c>
      <c r="I502" s="363">
        <f t="shared" si="194"/>
        <v>269387.33171874471</v>
      </c>
      <c r="J502" s="366">
        <f t="shared" si="195"/>
        <v>1.5707926146678504</v>
      </c>
      <c r="K502" s="374">
        <f t="shared" si="211"/>
        <v>83.355581085034416</v>
      </c>
      <c r="L502" s="375">
        <f t="shared" si="212"/>
        <v>1.5587992418279772</v>
      </c>
      <c r="M502" s="363">
        <f t="shared" si="196"/>
        <v>2.7759360653643057</v>
      </c>
      <c r="N502" s="366">
        <f t="shared" si="197"/>
        <v>1.2022724116015571</v>
      </c>
      <c r="O502" s="367">
        <f t="shared" si="198"/>
        <v>1.4750754776834645</v>
      </c>
      <c r="P502" s="368">
        <f t="shared" si="199"/>
        <v>1.0530174396593057</v>
      </c>
      <c r="Q502" s="369">
        <f t="shared" si="200"/>
        <v>-24.004084093397253</v>
      </c>
      <c r="R502" s="370">
        <f t="shared" si="201"/>
        <v>-255.8285345519129</v>
      </c>
      <c r="S502" s="372">
        <f t="shared" si="202"/>
        <v>-75.828534551912895</v>
      </c>
      <c r="U502" s="345">
        <f t="shared" si="208"/>
        <v>64941</v>
      </c>
      <c r="V502" s="345">
        <f t="shared" si="209"/>
        <v>4217333481</v>
      </c>
      <c r="X502" s="371">
        <f t="shared" si="203"/>
        <v>9.0396354409802324</v>
      </c>
      <c r="Y502" s="372">
        <f t="shared" si="204"/>
        <v>-69.572304735134068</v>
      </c>
      <c r="AA502" s="371">
        <f t="shared" si="205"/>
        <v>24.457505733456514</v>
      </c>
      <c r="AB502" s="372">
        <f t="shared" si="206"/>
        <v>-186.25622981677884</v>
      </c>
      <c r="AD502">
        <f t="shared" si="210"/>
        <v>0</v>
      </c>
      <c r="AE502">
        <f t="shared" si="213"/>
        <v>0</v>
      </c>
    </row>
    <row r="503" spans="1:31" x14ac:dyDescent="0.2">
      <c r="A503" s="373">
        <v>65317</v>
      </c>
      <c r="B503" s="390">
        <f t="shared" si="207"/>
        <v>65.316999999999993</v>
      </c>
      <c r="C503" s="363">
        <f t="shared" si="188"/>
        <v>92.182726396138449</v>
      </c>
      <c r="D503" s="364">
        <f t="shared" si="189"/>
        <v>1.55994809466521</v>
      </c>
      <c r="E503" s="364">
        <f t="shared" si="190"/>
        <v>1.1146906068011606</v>
      </c>
      <c r="F503" s="365">
        <f t="shared" si="191"/>
        <v>0.45761238634259432</v>
      </c>
      <c r="G503" s="364">
        <f t="shared" si="192"/>
        <v>2.1855715076824924</v>
      </c>
      <c r="H503" s="365">
        <f t="shared" si="193"/>
        <v>-1.0955626651517407</v>
      </c>
      <c r="I503" s="363">
        <f t="shared" si="194"/>
        <v>270947.04956609622</v>
      </c>
      <c r="J503" s="366">
        <f t="shared" si="195"/>
        <v>1.5707926360368625</v>
      </c>
      <c r="K503" s="374">
        <f t="shared" si="211"/>
        <v>83.83812987044989</v>
      </c>
      <c r="L503" s="375">
        <f t="shared" si="212"/>
        <v>1.5588682969721719</v>
      </c>
      <c r="M503" s="363">
        <f t="shared" si="196"/>
        <v>2.7899278683325037</v>
      </c>
      <c r="N503" s="366">
        <f t="shared" si="197"/>
        <v>1.2042083551510685</v>
      </c>
      <c r="O503" s="367">
        <f t="shared" si="198"/>
        <v>1.4799861344864065</v>
      </c>
      <c r="P503" s="368">
        <f t="shared" si="199"/>
        <v>1.0573395866595021</v>
      </c>
      <c r="Q503" s="369">
        <f t="shared" si="200"/>
        <v>-24.077426906211166</v>
      </c>
      <c r="R503" s="370">
        <f t="shared" si="201"/>
        <v>-256.19066742562285</v>
      </c>
      <c r="S503" s="372">
        <f t="shared" si="202"/>
        <v>-76.190667425622848</v>
      </c>
      <c r="U503" s="345">
        <f t="shared" si="208"/>
        <v>65317</v>
      </c>
      <c r="V503" s="345">
        <f t="shared" si="209"/>
        <v>4266310489</v>
      </c>
      <c r="X503" s="371">
        <f t="shared" si="203"/>
        <v>8.9959579515789425</v>
      </c>
      <c r="Y503" s="372">
        <f t="shared" si="204"/>
        <v>-69.679270786057074</v>
      </c>
      <c r="AA503" s="371">
        <f t="shared" si="205"/>
        <v>24.427840410043892</v>
      </c>
      <c r="AB503" s="372">
        <f t="shared" si="206"/>
        <v>-186.51139663956576</v>
      </c>
      <c r="AD503">
        <f t="shared" si="210"/>
        <v>0</v>
      </c>
      <c r="AE503">
        <f t="shared" si="213"/>
        <v>0</v>
      </c>
    </row>
    <row r="504" spans="1:31" x14ac:dyDescent="0.2">
      <c r="A504" s="373">
        <v>65693</v>
      </c>
      <c r="B504" s="390">
        <f t="shared" si="207"/>
        <v>65.692999999999998</v>
      </c>
      <c r="C504" s="363">
        <f t="shared" si="188"/>
        <v>92.71331778798374</v>
      </c>
      <c r="D504" s="364">
        <f t="shared" si="189"/>
        <v>1.5600101807019702</v>
      </c>
      <c r="E504" s="364">
        <f t="shared" si="190"/>
        <v>1.1159460171111832</v>
      </c>
      <c r="F504" s="365">
        <f t="shared" si="191"/>
        <v>0.45989142560356838</v>
      </c>
      <c r="G504" s="364">
        <f t="shared" si="192"/>
        <v>2.195524923143537</v>
      </c>
      <c r="H504" s="365">
        <f t="shared" si="193"/>
        <v>-1.0978940618281392</v>
      </c>
      <c r="I504" s="363">
        <f t="shared" si="194"/>
        <v>272506.76741344796</v>
      </c>
      <c r="J504" s="366">
        <f t="shared" si="195"/>
        <v>1.5707926571612596</v>
      </c>
      <c r="K504" s="374">
        <f t="shared" si="211"/>
        <v>84.320679051081129</v>
      </c>
      <c r="L504" s="375">
        <f t="shared" si="212"/>
        <v>1.5589365617410984</v>
      </c>
      <c r="M504" s="363">
        <f t="shared" si="196"/>
        <v>2.8039300232302704</v>
      </c>
      <c r="N504" s="366">
        <f t="shared" si="197"/>
        <v>1.2061249705474515</v>
      </c>
      <c r="O504" s="367">
        <f t="shared" si="198"/>
        <v>1.4849154348658582</v>
      </c>
      <c r="P504" s="368">
        <f t="shared" si="199"/>
        <v>1.0616437075872536</v>
      </c>
      <c r="Q504" s="369">
        <f t="shared" si="200"/>
        <v>-24.150406931582292</v>
      </c>
      <c r="R504" s="370">
        <f t="shared" si="201"/>
        <v>-256.54973641686269</v>
      </c>
      <c r="S504" s="372">
        <f t="shared" si="202"/>
        <v>-76.549736416862686</v>
      </c>
      <c r="U504" s="345">
        <f t="shared" si="208"/>
        <v>65693</v>
      </c>
      <c r="V504" s="345">
        <f t="shared" si="209"/>
        <v>4315570249</v>
      </c>
      <c r="X504" s="371">
        <f t="shared" si="203"/>
        <v>8.952466981870403</v>
      </c>
      <c r="Y504" s="372">
        <f t="shared" si="204"/>
        <v>-69.785174686530482</v>
      </c>
      <c r="AA504" s="371">
        <f t="shared" si="205"/>
        <v>24.398351354381305</v>
      </c>
      <c r="AB504" s="372">
        <f t="shared" si="206"/>
        <v>-186.76456173033222</v>
      </c>
      <c r="AD504">
        <f t="shared" si="210"/>
        <v>0</v>
      </c>
      <c r="AE504">
        <f t="shared" si="213"/>
        <v>0</v>
      </c>
    </row>
    <row r="505" spans="1:31" x14ac:dyDescent="0.2">
      <c r="A505" s="373">
        <v>66069</v>
      </c>
      <c r="B505" s="390">
        <f t="shared" si="207"/>
        <v>66.069000000000003</v>
      </c>
      <c r="C505" s="363">
        <f t="shared" si="188"/>
        <v>93.243909533141604</v>
      </c>
      <c r="D505" s="364">
        <f t="shared" si="189"/>
        <v>1.5600715601547219</v>
      </c>
      <c r="E505" s="364">
        <f t="shared" si="190"/>
        <v>1.1172072106230158</v>
      </c>
      <c r="F505" s="365">
        <f t="shared" si="191"/>
        <v>0.46216533112681119</v>
      </c>
      <c r="G505" s="364">
        <f t="shared" si="192"/>
        <v>2.2054901644331797</v>
      </c>
      <c r="H505" s="365">
        <f t="shared" si="193"/>
        <v>-1.1002044026984874</v>
      </c>
      <c r="I505" s="363">
        <f t="shared" si="194"/>
        <v>274066.48526079976</v>
      </c>
      <c r="J505" s="366">
        <f t="shared" si="195"/>
        <v>1.5707926780452179</v>
      </c>
      <c r="K505" s="374">
        <f t="shared" si="211"/>
        <v>84.803228620181514</v>
      </c>
      <c r="L505" s="375">
        <f t="shared" si="212"/>
        <v>1.5590040496263577</v>
      </c>
      <c r="M505" s="363">
        <f t="shared" si="196"/>
        <v>2.8179423757436091</v>
      </c>
      <c r="N505" s="366">
        <f t="shared" si="197"/>
        <v>1.2080225319342646</v>
      </c>
      <c r="O505" s="367">
        <f t="shared" si="198"/>
        <v>1.4898633086486262</v>
      </c>
      <c r="P505" s="368">
        <f t="shared" si="199"/>
        <v>1.065929899426822</v>
      </c>
      <c r="Q505" s="369">
        <f t="shared" si="200"/>
        <v>-24.223027754019828</v>
      </c>
      <c r="R505" s="370">
        <f t="shared" si="201"/>
        <v>-256.90577817946638</v>
      </c>
      <c r="S505" s="372">
        <f t="shared" si="202"/>
        <v>-76.905778179466381</v>
      </c>
      <c r="U505" s="345">
        <f t="shared" si="208"/>
        <v>66069</v>
      </c>
      <c r="V505" s="345">
        <f t="shared" si="209"/>
        <v>4365112761</v>
      </c>
      <c r="X505" s="371">
        <f t="shared" si="203"/>
        <v>8.9091613078446681</v>
      </c>
      <c r="Y505" s="372">
        <f t="shared" si="204"/>
        <v>-69.890031371050739</v>
      </c>
      <c r="AA505" s="371">
        <f t="shared" si="205"/>
        <v>24.369036205969508</v>
      </c>
      <c r="AB505" s="372">
        <f t="shared" si="206"/>
        <v>-187.01574680841566</v>
      </c>
      <c r="AD505">
        <f t="shared" si="210"/>
        <v>0</v>
      </c>
      <c r="AE505">
        <f t="shared" si="213"/>
        <v>0</v>
      </c>
    </row>
    <row r="506" spans="1:31" x14ac:dyDescent="0.2">
      <c r="A506" s="373">
        <v>66453.75</v>
      </c>
      <c r="B506" s="390">
        <f t="shared" si="207"/>
        <v>66.453749999999999</v>
      </c>
      <c r="C506" s="363">
        <f t="shared" si="188"/>
        <v>93.786849185046094</v>
      </c>
      <c r="D506" s="364">
        <f t="shared" si="189"/>
        <v>1.5601336490557072</v>
      </c>
      <c r="E506" s="364">
        <f t="shared" si="190"/>
        <v>1.1185037199506571</v>
      </c>
      <c r="F506" s="365">
        <f t="shared" si="191"/>
        <v>0.46448683263232049</v>
      </c>
      <c r="G506" s="364">
        <f t="shared" si="192"/>
        <v>2.2156993849855855</v>
      </c>
      <c r="H506" s="365">
        <f t="shared" si="193"/>
        <v>-1.1025469824749883</v>
      </c>
      <c r="I506" s="363">
        <f t="shared" si="194"/>
        <v>275662.49973358866</v>
      </c>
      <c r="J506" s="366">
        <f t="shared" si="195"/>
        <v>1.5707926991705337</v>
      </c>
      <c r="K506" s="374">
        <f t="shared" si="211"/>
        <v>85.297008129032278</v>
      </c>
      <c r="L506" s="375">
        <f t="shared" si="212"/>
        <v>1.5590723175824446</v>
      </c>
      <c r="M506" s="363">
        <f t="shared" si="196"/>
        <v>2.8322912120381818</v>
      </c>
      <c r="N506" s="366">
        <f t="shared" si="197"/>
        <v>1.2099448085854252</v>
      </c>
      <c r="O506" s="367">
        <f t="shared" si="198"/>
        <v>1.4949454802744564</v>
      </c>
      <c r="P506" s="368">
        <f t="shared" si="199"/>
        <v>1.0702973777335247</v>
      </c>
      <c r="Q506" s="369">
        <f t="shared" si="200"/>
        <v>-24.29697039562916</v>
      </c>
      <c r="R506" s="370">
        <f t="shared" si="201"/>
        <v>-257.26700946571623</v>
      </c>
      <c r="S506" s="372">
        <f t="shared" si="202"/>
        <v>-77.267009465716228</v>
      </c>
      <c r="U506" s="345">
        <f t="shared" si="208"/>
        <v>66453.75</v>
      </c>
      <c r="V506" s="345">
        <f t="shared" si="209"/>
        <v>4416100889.0625</v>
      </c>
      <c r="X506" s="371">
        <f t="shared" si="203"/>
        <v>8.8650383976437332</v>
      </c>
      <c r="Y506" s="372">
        <f t="shared" si="204"/>
        <v>-69.996259454971835</v>
      </c>
      <c r="AA506" s="371">
        <f t="shared" si="205"/>
        <v>24.339216474561105</v>
      </c>
      <c r="AB506" s="372">
        <f t="shared" si="206"/>
        <v>-187.27075001074436</v>
      </c>
      <c r="AD506">
        <f t="shared" si="210"/>
        <v>0</v>
      </c>
      <c r="AE506">
        <f t="shared" si="213"/>
        <v>0</v>
      </c>
    </row>
    <row r="507" spans="1:31" x14ac:dyDescent="0.2">
      <c r="A507" s="373">
        <v>66838.5</v>
      </c>
      <c r="B507" s="390">
        <f t="shared" si="207"/>
        <v>66.838499999999996</v>
      </c>
      <c r="C507" s="363">
        <f t="shared" si="188"/>
        <v>94.329789194339867</v>
      </c>
      <c r="D507" s="364">
        <f t="shared" si="189"/>
        <v>1.5601950232187987</v>
      </c>
      <c r="E507" s="364">
        <f t="shared" si="190"/>
        <v>1.1198062433304361</v>
      </c>
      <c r="F507" s="365">
        <f t="shared" si="191"/>
        <v>0.46680294600110478</v>
      </c>
      <c r="G507" s="364">
        <f t="shared" si="192"/>
        <v>2.2259206530131506</v>
      </c>
      <c r="H507" s="365">
        <f t="shared" si="193"/>
        <v>-1.1048680609748589</v>
      </c>
      <c r="I507" s="363">
        <f t="shared" si="194"/>
        <v>277258.51420637773</v>
      </c>
      <c r="J507" s="366">
        <f t="shared" si="195"/>
        <v>1.570792720052637</v>
      </c>
      <c r="K507" s="374">
        <f t="shared" si="211"/>
        <v>85.790788030834889</v>
      </c>
      <c r="L507" s="375">
        <f t="shared" si="212"/>
        <v>1.5591397996888599</v>
      </c>
      <c r="M507" s="363">
        <f t="shared" si="196"/>
        <v>2.8466504085369535</v>
      </c>
      <c r="N507" s="366">
        <f t="shared" si="197"/>
        <v>1.2118476993478511</v>
      </c>
      <c r="O507" s="367">
        <f t="shared" si="198"/>
        <v>1.500046954005487</v>
      </c>
      <c r="P507" s="368">
        <f t="shared" si="199"/>
        <v>1.0746462880040413</v>
      </c>
      <c r="Q507" s="369">
        <f t="shared" si="200"/>
        <v>-24.370544331741606</v>
      </c>
      <c r="R507" s="370">
        <f t="shared" si="201"/>
        <v>-257.62514699780695</v>
      </c>
      <c r="S507" s="372">
        <f t="shared" si="202"/>
        <v>-77.625146997806951</v>
      </c>
      <c r="U507" s="345">
        <f t="shared" si="208"/>
        <v>66838.5</v>
      </c>
      <c r="V507" s="345">
        <f t="shared" si="209"/>
        <v>4467385082.25</v>
      </c>
      <c r="X507" s="371">
        <f t="shared" si="203"/>
        <v>8.8211069302682397</v>
      </c>
      <c r="Y507" s="372">
        <f t="shared" si="204"/>
        <v>-70.101421821219603</v>
      </c>
      <c r="AA507" s="371">
        <f t="shared" si="205"/>
        <v>24.309574005824153</v>
      </c>
      <c r="AB507" s="372">
        <f t="shared" si="206"/>
        <v>-187.52372517658739</v>
      </c>
      <c r="AD507">
        <f t="shared" si="210"/>
        <v>0</v>
      </c>
      <c r="AE507">
        <f t="shared" si="213"/>
        <v>0</v>
      </c>
    </row>
    <row r="508" spans="1:31" x14ac:dyDescent="0.2">
      <c r="A508" s="373">
        <v>67223.25</v>
      </c>
      <c r="B508" s="390">
        <f t="shared" si="207"/>
        <v>67.223249999999993</v>
      </c>
      <c r="C508" s="363">
        <f t="shared" si="188"/>
        <v>94.872729554887087</v>
      </c>
      <c r="D508" s="364">
        <f t="shared" si="189"/>
        <v>1.560255694914497</v>
      </c>
      <c r="E508" s="364">
        <f t="shared" si="190"/>
        <v>1.1211147598007782</v>
      </c>
      <c r="F508" s="365">
        <f t="shared" si="191"/>
        <v>0.46911366520749276</v>
      </c>
      <c r="G508" s="364">
        <f t="shared" si="192"/>
        <v>2.2361538033119417</v>
      </c>
      <c r="H508" s="365">
        <f t="shared" si="193"/>
        <v>-1.1071679082004646</v>
      </c>
      <c r="I508" s="363">
        <f t="shared" si="194"/>
        <v>278854.52867916686</v>
      </c>
      <c r="J508" s="366">
        <f t="shared" si="195"/>
        <v>1.5707927406957045</v>
      </c>
      <c r="K508" s="374">
        <f t="shared" si="211"/>
        <v>86.284568318843114</v>
      </c>
      <c r="L508" s="375">
        <f t="shared" si="212"/>
        <v>1.5592065094365184</v>
      </c>
      <c r="M508" s="363">
        <f t="shared" si="196"/>
        <v>2.8610198092491808</v>
      </c>
      <c r="N508" s="366">
        <f t="shared" si="197"/>
        <v>1.2137314824315861</v>
      </c>
      <c r="O508" s="367">
        <f t="shared" si="198"/>
        <v>1.505167657535371</v>
      </c>
      <c r="P508" s="368">
        <f t="shared" si="199"/>
        <v>1.0789767338724969</v>
      </c>
      <c r="Q508" s="369">
        <f t="shared" si="200"/>
        <v>-24.443753219588498</v>
      </c>
      <c r="R508" s="370">
        <f t="shared" si="201"/>
        <v>-257.9802283993543</v>
      </c>
      <c r="S508" s="372">
        <f t="shared" si="202"/>
        <v>-77.980228399354303</v>
      </c>
      <c r="U508" s="345">
        <f t="shared" si="208"/>
        <v>67223.25</v>
      </c>
      <c r="V508" s="345">
        <f t="shared" si="209"/>
        <v>4518965340.5625</v>
      </c>
      <c r="X508" s="371">
        <f t="shared" si="203"/>
        <v>8.7773656107075055</v>
      </c>
      <c r="Y508" s="372">
        <f t="shared" si="204"/>
        <v>-70.205533637322134</v>
      </c>
      <c r="AA508" s="371">
        <f t="shared" si="205"/>
        <v>24.280106437537995</v>
      </c>
      <c r="AB508" s="372">
        <f t="shared" si="206"/>
        <v>-187.7746947620322</v>
      </c>
      <c r="AD508">
        <f t="shared" si="210"/>
        <v>0</v>
      </c>
      <c r="AE508">
        <f t="shared" si="213"/>
        <v>0</v>
      </c>
    </row>
    <row r="509" spans="1:31" x14ac:dyDescent="0.2">
      <c r="A509" s="373">
        <v>67608</v>
      </c>
      <c r="B509" s="390">
        <f t="shared" si="207"/>
        <v>67.608000000000004</v>
      </c>
      <c r="C509" s="363">
        <f t="shared" si="188"/>
        <v>95.415670260691556</v>
      </c>
      <c r="D509" s="364">
        <f t="shared" si="189"/>
        <v>1.5603156761340344</v>
      </c>
      <c r="E509" s="364">
        <f t="shared" si="190"/>
        <v>1.1224292484016338</v>
      </c>
      <c r="F509" s="365">
        <f t="shared" si="191"/>
        <v>0.47141898448425951</v>
      </c>
      <c r="G509" s="364">
        <f t="shared" si="192"/>
        <v>2.2463986734979646</v>
      </c>
      <c r="H509" s="365">
        <f t="shared" si="193"/>
        <v>-1.1094467901356893</v>
      </c>
      <c r="I509" s="363">
        <f t="shared" si="194"/>
        <v>280450.54315195623</v>
      </c>
      <c r="J509" s="366">
        <f t="shared" si="195"/>
        <v>1.570792761103817</v>
      </c>
      <c r="K509" s="374">
        <f t="shared" si="211"/>
        <v>86.778348986464266</v>
      </c>
      <c r="L509" s="375">
        <f t="shared" si="212"/>
        <v>1.5592724600093018</v>
      </c>
      <c r="M509" s="363">
        <f t="shared" si="196"/>
        <v>2.875399261192531</v>
      </c>
      <c r="N509" s="366">
        <f t="shared" si="197"/>
        <v>1.2155964310299183</v>
      </c>
      <c r="O509" s="367">
        <f t="shared" si="198"/>
        <v>1.5103075195151783</v>
      </c>
      <c r="P509" s="368">
        <f t="shared" si="199"/>
        <v>1.0832888188403758</v>
      </c>
      <c r="Q509" s="369">
        <f t="shared" si="200"/>
        <v>-24.516600657445522</v>
      </c>
      <c r="R509" s="370">
        <f t="shared" si="201"/>
        <v>-258.33229075547052</v>
      </c>
      <c r="S509" s="372">
        <f t="shared" si="202"/>
        <v>-78.332290755470524</v>
      </c>
      <c r="U509" s="345">
        <f t="shared" si="208"/>
        <v>67608</v>
      </c>
      <c r="V509" s="345">
        <f t="shared" si="209"/>
        <v>4570841664</v>
      </c>
      <c r="X509" s="371">
        <f t="shared" si="203"/>
        <v>8.7338131499444547</v>
      </c>
      <c r="Y509" s="372">
        <f t="shared" si="204"/>
        <v>-70.30860980095494</v>
      </c>
      <c r="AA509" s="371">
        <f t="shared" si="205"/>
        <v>24.250811460444023</v>
      </c>
      <c r="AB509" s="372">
        <f t="shared" si="206"/>
        <v>-188.02368095451558</v>
      </c>
      <c r="AD509">
        <f t="shared" si="210"/>
        <v>0</v>
      </c>
      <c r="AE509">
        <f t="shared" si="213"/>
        <v>0</v>
      </c>
    </row>
    <row r="510" spans="1:31" x14ac:dyDescent="0.2">
      <c r="A510" s="373">
        <v>68001.75</v>
      </c>
      <c r="B510" s="390">
        <f t="shared" si="207"/>
        <v>68.001750000000001</v>
      </c>
      <c r="C510" s="363">
        <f t="shared" si="188"/>
        <v>95.971311685235065</v>
      </c>
      <c r="D510" s="364">
        <f t="shared" si="189"/>
        <v>1.5603763577580225</v>
      </c>
      <c r="E510" s="364">
        <f t="shared" si="190"/>
        <v>1.1237806467190457</v>
      </c>
      <c r="F510" s="365">
        <f t="shared" si="191"/>
        <v>0.47377263273143028</v>
      </c>
      <c r="G510" s="364">
        <f t="shared" si="192"/>
        <v>2.256895157552123</v>
      </c>
      <c r="H510" s="365">
        <f t="shared" si="193"/>
        <v>-1.1117575459850442</v>
      </c>
      <c r="I510" s="363">
        <f t="shared" si="194"/>
        <v>282083.89129662374</v>
      </c>
      <c r="J510" s="366">
        <f t="shared" si="195"/>
        <v>1.5707927817502101</v>
      </c>
      <c r="K510" s="374">
        <f t="shared" si="211"/>
        <v>87.283680465373095</v>
      </c>
      <c r="L510" s="375">
        <f t="shared" si="212"/>
        <v>1.5593391807086798</v>
      </c>
      <c r="M510" s="363">
        <f t="shared" si="196"/>
        <v>2.8901253246978666</v>
      </c>
      <c r="N510" s="366">
        <f t="shared" si="197"/>
        <v>1.217485783564328</v>
      </c>
      <c r="O510" s="367">
        <f t="shared" si="198"/>
        <v>1.5155873746517354</v>
      </c>
      <c r="P510" s="368">
        <f t="shared" si="199"/>
        <v>1.0876828689653333</v>
      </c>
      <c r="Q510" s="369">
        <f t="shared" si="200"/>
        <v>-24.590781591750307</v>
      </c>
      <c r="R510" s="370">
        <f t="shared" si="201"/>
        <v>-258.68950082529284</v>
      </c>
      <c r="S510" s="372">
        <f t="shared" si="202"/>
        <v>-78.689500825292839</v>
      </c>
      <c r="U510" s="345">
        <f t="shared" si="208"/>
        <v>68001.75</v>
      </c>
      <c r="V510" s="345">
        <f t="shared" si="209"/>
        <v>4624238003.0625</v>
      </c>
      <c r="X510" s="371">
        <f t="shared" si="203"/>
        <v>8.6894361167590297</v>
      </c>
      <c r="Y510" s="372">
        <f t="shared" si="204"/>
        <v>-70.413040095778967</v>
      </c>
      <c r="AA510" s="371">
        <f t="shared" si="205"/>
        <v>24.221007559324661</v>
      </c>
      <c r="AB510" s="372">
        <f t="shared" si="206"/>
        <v>-188.27646072951387</v>
      </c>
      <c r="AD510">
        <f t="shared" si="210"/>
        <v>0</v>
      </c>
      <c r="AE510">
        <f t="shared" si="213"/>
        <v>0</v>
      </c>
    </row>
    <row r="511" spans="1:31" x14ac:dyDescent="0.2">
      <c r="A511" s="373">
        <v>68395.5</v>
      </c>
      <c r="B511" s="390">
        <f t="shared" si="207"/>
        <v>68.395499999999998</v>
      </c>
      <c r="C511" s="363">
        <f t="shared" si="188"/>
        <v>96.526953459101378</v>
      </c>
      <c r="D511" s="364">
        <f t="shared" si="189"/>
        <v>1.5604363407743485</v>
      </c>
      <c r="E511" s="364">
        <f t="shared" si="190"/>
        <v>1.1251382554246372</v>
      </c>
      <c r="F511" s="365">
        <f t="shared" si="191"/>
        <v>0.476120614064929</v>
      </c>
      <c r="G511" s="364">
        <f t="shared" si="192"/>
        <v>2.2674035808952278</v>
      </c>
      <c r="H511" s="365">
        <f t="shared" si="193"/>
        <v>-1.1140468952801204</v>
      </c>
      <c r="I511" s="363">
        <f t="shared" si="194"/>
        <v>283717.23944129137</v>
      </c>
      <c r="J511" s="366">
        <f t="shared" si="195"/>
        <v>1.5707928021588824</v>
      </c>
      <c r="K511" s="374">
        <f t="shared" si="211"/>
        <v>87.78901232836526</v>
      </c>
      <c r="L511" s="375">
        <f t="shared" si="212"/>
        <v>1.5594051332918286</v>
      </c>
      <c r="M511" s="363">
        <f t="shared" si="196"/>
        <v>2.9048616003258476</v>
      </c>
      <c r="N511" s="366">
        <f t="shared" si="197"/>
        <v>1.2193559734610635</v>
      </c>
      <c r="O511" s="367">
        <f t="shared" si="198"/>
        <v>1.5208871468634229</v>
      </c>
      <c r="P511" s="368">
        <f t="shared" si="199"/>
        <v>1.0920579079861215</v>
      </c>
      <c r="Q511" s="369">
        <f t="shared" si="200"/>
        <v>-24.664591410482863</v>
      </c>
      <c r="R511" s="370">
        <f t="shared" si="201"/>
        <v>-259.04362585476514</v>
      </c>
      <c r="S511" s="372">
        <f t="shared" si="202"/>
        <v>-79.043625854765139</v>
      </c>
      <c r="U511" s="345">
        <f t="shared" si="208"/>
        <v>68395.5</v>
      </c>
      <c r="V511" s="345">
        <f t="shared" si="209"/>
        <v>4677944420.25</v>
      </c>
      <c r="X511" s="371">
        <f t="shared" si="203"/>
        <v>8.645254169652711</v>
      </c>
      <c r="Y511" s="372">
        <f t="shared" si="204"/>
        <v>-70.516416448536404</v>
      </c>
      <c r="AA511" s="371">
        <f t="shared" si="205"/>
        <v>24.191379687698422</v>
      </c>
      <c r="AB511" s="372">
        <f t="shared" si="206"/>
        <v>-188.52720940622871</v>
      </c>
      <c r="AD511">
        <f t="shared" si="210"/>
        <v>0</v>
      </c>
      <c r="AE511">
        <f t="shared" si="213"/>
        <v>0</v>
      </c>
    </row>
    <row r="512" spans="1:31" x14ac:dyDescent="0.2">
      <c r="A512" s="373">
        <v>68789.25</v>
      </c>
      <c r="B512" s="390">
        <f t="shared" si="207"/>
        <v>68.789249999999996</v>
      </c>
      <c r="C512" s="363">
        <f t="shared" si="188"/>
        <v>97.082595576292533</v>
      </c>
      <c r="D512" s="364">
        <f t="shared" si="189"/>
        <v>1.5604956371778016</v>
      </c>
      <c r="E512" s="364">
        <f t="shared" si="190"/>
        <v>1.1265020520649822</v>
      </c>
      <c r="F512" s="365">
        <f t="shared" si="191"/>
        <v>0.4784629231312168</v>
      </c>
      <c r="G512" s="364">
        <f t="shared" si="192"/>
        <v>2.2779237782937898</v>
      </c>
      <c r="H512" s="365">
        <f t="shared" si="193"/>
        <v>-1.1163151104435476</v>
      </c>
      <c r="I512" s="363">
        <f t="shared" si="194"/>
        <v>285350.58758595918</v>
      </c>
      <c r="J512" s="366">
        <f t="shared" si="195"/>
        <v>1.570792822333916</v>
      </c>
      <c r="K512" s="374">
        <f t="shared" si="211"/>
        <v>88.2943445688461</v>
      </c>
      <c r="L512" s="375">
        <f t="shared" si="212"/>
        <v>1.5594703309465758</v>
      </c>
      <c r="M512" s="363">
        <f t="shared" si="196"/>
        <v>2.9196079334440848</v>
      </c>
      <c r="N512" s="366">
        <f t="shared" si="197"/>
        <v>1.2212072778972929</v>
      </c>
      <c r="O512" s="367">
        <f t="shared" si="198"/>
        <v>1.5262067627437106</v>
      </c>
      <c r="P512" s="368">
        <f t="shared" si="199"/>
        <v>1.0964140462896026</v>
      </c>
      <c r="Q512" s="369">
        <f t="shared" si="200"/>
        <v>-24.73803378751299</v>
      </c>
      <c r="R512" s="370">
        <f t="shared" si="201"/>
        <v>-259.39470389695043</v>
      </c>
      <c r="S512" s="372">
        <f t="shared" si="202"/>
        <v>-79.394703896950432</v>
      </c>
      <c r="U512" s="345">
        <f t="shared" si="208"/>
        <v>68789.25</v>
      </c>
      <c r="V512" s="345">
        <f t="shared" si="209"/>
        <v>4731960915.5625</v>
      </c>
      <c r="X512" s="371">
        <f t="shared" si="203"/>
        <v>8.6012659477786446</v>
      </c>
      <c r="Y512" s="372">
        <f t="shared" si="204"/>
        <v>-70.618753984936248</v>
      </c>
      <c r="AA512" s="371">
        <f t="shared" si="205"/>
        <v>24.161925532542369</v>
      </c>
      <c r="AB512" s="372">
        <f t="shared" si="206"/>
        <v>-188.77594991201428</v>
      </c>
      <c r="AD512">
        <f t="shared" si="210"/>
        <v>0</v>
      </c>
      <c r="AE512">
        <f t="shared" si="213"/>
        <v>0</v>
      </c>
    </row>
    <row r="513" spans="1:31" x14ac:dyDescent="0.2">
      <c r="A513" s="373">
        <v>69183</v>
      </c>
      <c r="B513" s="390">
        <f t="shared" si="207"/>
        <v>69.183000000000007</v>
      </c>
      <c r="C513" s="363">
        <f t="shared" si="188"/>
        <v>97.638238030947164</v>
      </c>
      <c r="D513" s="364">
        <f t="shared" si="189"/>
        <v>1.5605542586901495</v>
      </c>
      <c r="E513" s="364">
        <f t="shared" si="190"/>
        <v>1.1278720141931604</v>
      </c>
      <c r="F513" s="365">
        <f t="shared" si="191"/>
        <v>0.48079955485155057</v>
      </c>
      <c r="G513" s="364">
        <f t="shared" si="192"/>
        <v>2.2884555873692376</v>
      </c>
      <c r="H513" s="365">
        <f t="shared" si="193"/>
        <v>-1.1185624597613231</v>
      </c>
      <c r="I513" s="363">
        <f t="shared" si="194"/>
        <v>286983.9357306271</v>
      </c>
      <c r="J513" s="366">
        <f t="shared" si="195"/>
        <v>1.5707928422793001</v>
      </c>
      <c r="K513" s="374">
        <f t="shared" si="211"/>
        <v>88.799677180371134</v>
      </c>
      <c r="L513" s="375">
        <f t="shared" si="212"/>
        <v>1.5595347865605829</v>
      </c>
      <c r="M513" s="363">
        <f t="shared" si="196"/>
        <v>2.9343641724240577</v>
      </c>
      <c r="N513" s="366">
        <f t="shared" si="197"/>
        <v>1.2230399689982794</v>
      </c>
      <c r="O513" s="367">
        <f t="shared" si="198"/>
        <v>1.531546149904137</v>
      </c>
      <c r="P513" s="368">
        <f t="shared" si="199"/>
        <v>1.100751394039885</v>
      </c>
      <c r="Q513" s="369">
        <f t="shared" si="200"/>
        <v>-24.811112337924186</v>
      </c>
      <c r="R513" s="370">
        <f t="shared" si="201"/>
        <v>-259.74277245149034</v>
      </c>
      <c r="S513" s="372">
        <f t="shared" si="202"/>
        <v>-79.742772451490339</v>
      </c>
      <c r="U513" s="345">
        <f t="shared" si="208"/>
        <v>69183</v>
      </c>
      <c r="V513" s="345">
        <f t="shared" si="209"/>
        <v>4786287489</v>
      </c>
      <c r="X513" s="371">
        <f t="shared" si="203"/>
        <v>8.5574700976696718</v>
      </c>
      <c r="Y513" s="372">
        <f t="shared" si="204"/>
        <v>-70.72006755842753</v>
      </c>
      <c r="AA513" s="371">
        <f t="shared" si="205"/>
        <v>24.132642832240144</v>
      </c>
      <c r="AB513" s="372">
        <f t="shared" si="206"/>
        <v>-189.02270489306281</v>
      </c>
      <c r="AD513">
        <f t="shared" si="210"/>
        <v>0</v>
      </c>
      <c r="AE513">
        <f t="shared" si="213"/>
        <v>0</v>
      </c>
    </row>
    <row r="514" spans="1:31" x14ac:dyDescent="0.2">
      <c r="A514" s="373">
        <v>69586</v>
      </c>
      <c r="B514" s="390">
        <f t="shared" si="207"/>
        <v>69.585999999999999</v>
      </c>
      <c r="C514" s="363">
        <f t="shared" si="188"/>
        <v>98.206934016895715</v>
      </c>
      <c r="D514" s="364">
        <f t="shared" si="189"/>
        <v>1.5606135704382205</v>
      </c>
      <c r="E514" s="364">
        <f t="shared" si="190"/>
        <v>1.1292805205897753</v>
      </c>
      <c r="F514" s="365">
        <f t="shared" si="191"/>
        <v>0.48318519488703127</v>
      </c>
      <c r="G514" s="364">
        <f t="shared" si="192"/>
        <v>2.2992466679013397</v>
      </c>
      <c r="H514" s="365">
        <f t="shared" si="193"/>
        <v>-1.1208412727929413</v>
      </c>
      <c r="I514" s="363">
        <f t="shared" si="194"/>
        <v>288655.65459361422</v>
      </c>
      <c r="J514" s="366">
        <f t="shared" si="195"/>
        <v>1.5707928624595058</v>
      </c>
      <c r="K514" s="374">
        <f t="shared" si="211"/>
        <v>89.316881475339599</v>
      </c>
      <c r="L514" s="375">
        <f t="shared" si="212"/>
        <v>1.5596000011200788</v>
      </c>
      <c r="M514" s="363">
        <f t="shared" si="196"/>
        <v>2.9494771684024483</v>
      </c>
      <c r="N514" s="366">
        <f t="shared" si="197"/>
        <v>1.2248967182314057</v>
      </c>
      <c r="O514" s="367">
        <f t="shared" si="198"/>
        <v>1.5370313692385189</v>
      </c>
      <c r="P514" s="368">
        <f t="shared" si="199"/>
        <v>1.1051712918744354</v>
      </c>
      <c r="Q514" s="369">
        <f t="shared" si="200"/>
        <v>-24.88553461924155</v>
      </c>
      <c r="R514" s="370">
        <f t="shared" si="201"/>
        <v>-260.09594005196425</v>
      </c>
      <c r="S514" s="372">
        <f t="shared" si="202"/>
        <v>-80.095940051964249</v>
      </c>
      <c r="U514" s="345">
        <f t="shared" si="208"/>
        <v>69586</v>
      </c>
      <c r="V514" s="345">
        <f t="shared" si="209"/>
        <v>4842211396</v>
      </c>
      <c r="X514" s="371">
        <f t="shared" si="203"/>
        <v>8.5128431917477823</v>
      </c>
      <c r="Y514" s="372">
        <f t="shared" si="204"/>
        <v>-70.822716090435819</v>
      </c>
      <c r="AA514" s="371">
        <f t="shared" si="205"/>
        <v>24.102847456844671</v>
      </c>
      <c r="AB514" s="372">
        <f t="shared" si="206"/>
        <v>-189.27322396152849</v>
      </c>
      <c r="AD514">
        <f t="shared" si="210"/>
        <v>0</v>
      </c>
      <c r="AE514">
        <f t="shared" si="213"/>
        <v>0</v>
      </c>
    </row>
    <row r="515" spans="1:31" x14ac:dyDescent="0.2">
      <c r="A515" s="373">
        <v>69989</v>
      </c>
      <c r="B515" s="390">
        <f t="shared" si="207"/>
        <v>69.989000000000004</v>
      </c>
      <c r="C515" s="363">
        <f t="shared" si="188"/>
        <v>98.775630344346652</v>
      </c>
      <c r="D515" s="364">
        <f t="shared" si="189"/>
        <v>1.5606721992169579</v>
      </c>
      <c r="E515" s="364">
        <f t="shared" si="190"/>
        <v>1.1306954380025527</v>
      </c>
      <c r="F515" s="365">
        <f t="shared" si="191"/>
        <v>0.48556487780498864</v>
      </c>
      <c r="G515" s="364">
        <f t="shared" si="192"/>
        <v>2.3100495768079385</v>
      </c>
      <c r="H515" s="365">
        <f t="shared" si="193"/>
        <v>-1.1230987837931998</v>
      </c>
      <c r="I515" s="363">
        <f t="shared" si="194"/>
        <v>290327.37345660158</v>
      </c>
      <c r="J515" s="366">
        <f t="shared" si="195"/>
        <v>1.5707928824073141</v>
      </c>
      <c r="K515" s="374">
        <f t="shared" si="211"/>
        <v>89.83408614579335</v>
      </c>
      <c r="L515" s="375">
        <f t="shared" si="212"/>
        <v>1.5596644647560891</v>
      </c>
      <c r="M515" s="363">
        <f t="shared" si="196"/>
        <v>2.964600229062226</v>
      </c>
      <c r="N515" s="366">
        <f t="shared" si="197"/>
        <v>1.2267345303957302</v>
      </c>
      <c r="O515" s="367">
        <f t="shared" si="198"/>
        <v>1.5425371494910094</v>
      </c>
      <c r="P515" s="368">
        <f t="shared" si="199"/>
        <v>1.109571738649572</v>
      </c>
      <c r="Q515" s="369">
        <f t="shared" si="200"/>
        <v>-24.95958325919046</v>
      </c>
      <c r="R515" s="370">
        <f t="shared" si="201"/>
        <v>-260.44603285607553</v>
      </c>
      <c r="S515" s="372">
        <f t="shared" si="202"/>
        <v>-80.446032856075533</v>
      </c>
      <c r="U515" s="345">
        <f t="shared" si="208"/>
        <v>69989</v>
      </c>
      <c r="V515" s="345">
        <f t="shared" si="209"/>
        <v>4898460121</v>
      </c>
      <c r="X515" s="371">
        <f t="shared" si="203"/>
        <v>8.4684149576514418</v>
      </c>
      <c r="Y515" s="372">
        <f t="shared" si="204"/>
        <v>-70.924322619755273</v>
      </c>
      <c r="AA515" s="371">
        <f t="shared" si="205"/>
        <v>24.073227050992099</v>
      </c>
      <c r="AB515" s="372">
        <f t="shared" si="206"/>
        <v>-189.52171023632022</v>
      </c>
      <c r="AD515">
        <f t="shared" si="210"/>
        <v>0</v>
      </c>
      <c r="AE515">
        <f t="shared" si="213"/>
        <v>0</v>
      </c>
    </row>
    <row r="516" spans="1:31" x14ac:dyDescent="0.2">
      <c r="A516" s="373">
        <v>70392</v>
      </c>
      <c r="B516" s="390">
        <f t="shared" si="207"/>
        <v>70.391999999999996</v>
      </c>
      <c r="C516" s="363">
        <f t="shared" si="188"/>
        <v>99.344327007435155</v>
      </c>
      <c r="D516" s="364">
        <f t="shared" si="189"/>
        <v>1.5607301567549303</v>
      </c>
      <c r="E516" s="364">
        <f t="shared" si="190"/>
        <v>1.1321167423940641</v>
      </c>
      <c r="F516" s="365">
        <f t="shared" si="191"/>
        <v>0.48793859903982728</v>
      </c>
      <c r="G516" s="364">
        <f t="shared" si="192"/>
        <v>2.3208641489167041</v>
      </c>
      <c r="H516" s="365">
        <f t="shared" si="193"/>
        <v>-1.1253352673744421</v>
      </c>
      <c r="I516" s="363">
        <f t="shared" si="194"/>
        <v>291999.09231958893</v>
      </c>
      <c r="J516" s="366">
        <f t="shared" si="195"/>
        <v>1.5707929021267169</v>
      </c>
      <c r="K516" s="374">
        <f t="shared" si="211"/>
        <v>90.351291185284111</v>
      </c>
      <c r="L516" s="375">
        <f t="shared" si="212"/>
        <v>1.559728190363785</v>
      </c>
      <c r="M516" s="363">
        <f t="shared" si="196"/>
        <v>2.9797332011593509</v>
      </c>
      <c r="N516" s="366">
        <f t="shared" si="197"/>
        <v>1.2285536815045361</v>
      </c>
      <c r="O516" s="367">
        <f t="shared" si="198"/>
        <v>1.5480634163089859</v>
      </c>
      <c r="P516" s="368">
        <f t="shared" si="199"/>
        <v>1.113952851637493</v>
      </c>
      <c r="Q516" s="369">
        <f t="shared" si="200"/>
        <v>-25.03326195126343</v>
      </c>
      <c r="R516" s="370">
        <f t="shared" si="201"/>
        <v>-260.79308932652708</v>
      </c>
      <c r="S516" s="372">
        <f t="shared" si="202"/>
        <v>-80.793089326527081</v>
      </c>
      <c r="U516" s="345">
        <f t="shared" si="208"/>
        <v>70392</v>
      </c>
      <c r="V516" s="345">
        <f t="shared" si="209"/>
        <v>4955033664</v>
      </c>
      <c r="X516" s="371">
        <f t="shared" si="203"/>
        <v>8.4241839693398592</v>
      </c>
      <c r="Y516" s="372">
        <f t="shared" si="204"/>
        <v>-71.024902222172003</v>
      </c>
      <c r="AA516" s="371">
        <f t="shared" si="205"/>
        <v>24.043779347230707</v>
      </c>
      <c r="AB516" s="372">
        <f t="shared" si="206"/>
        <v>-189.76818710435515</v>
      </c>
      <c r="AD516">
        <f t="shared" si="210"/>
        <v>0</v>
      </c>
      <c r="AE516">
        <f t="shared" si="213"/>
        <v>0</v>
      </c>
    </row>
    <row r="517" spans="1:31" x14ac:dyDescent="0.2">
      <c r="A517" s="373">
        <v>70795</v>
      </c>
      <c r="B517" s="390">
        <f t="shared" si="207"/>
        <v>70.795000000000002</v>
      </c>
      <c r="C517" s="363">
        <f t="shared" si="188"/>
        <v>99.913024000429999</v>
      </c>
      <c r="D517" s="364">
        <f t="shared" si="189"/>
        <v>1.5607874545136924</v>
      </c>
      <c r="E517" s="364">
        <f t="shared" si="190"/>
        <v>1.1335444097392058</v>
      </c>
      <c r="F517" s="365">
        <f t="shared" si="191"/>
        <v>0.49030635431752806</v>
      </c>
      <c r="G517" s="364">
        <f t="shared" si="192"/>
        <v>2.3316902219429521</v>
      </c>
      <c r="H517" s="365">
        <f t="shared" si="193"/>
        <v>-1.1275509938985713</v>
      </c>
      <c r="I517" s="363">
        <f t="shared" si="194"/>
        <v>293670.81118257646</v>
      </c>
      <c r="J517" s="366">
        <f t="shared" si="195"/>
        <v>1.5707929216216143</v>
      </c>
      <c r="K517" s="374">
        <f t="shared" si="211"/>
        <v>90.86849658751045</v>
      </c>
      <c r="L517" s="375">
        <f t="shared" si="212"/>
        <v>1.5597911905447757</v>
      </c>
      <c r="M517" s="363">
        <f t="shared" si="196"/>
        <v>2.9948759344476996</v>
      </c>
      <c r="N517" s="366">
        <f t="shared" si="197"/>
        <v>1.2303544424883204</v>
      </c>
      <c r="O517" s="367">
        <f t="shared" si="198"/>
        <v>1.5536100964198176</v>
      </c>
      <c r="P517" s="368">
        <f t="shared" si="199"/>
        <v>1.1183147477907256</v>
      </c>
      <c r="Q517" s="369">
        <f t="shared" si="200"/>
        <v>-25.106574330315141</v>
      </c>
      <c r="R517" s="370">
        <f t="shared" si="201"/>
        <v>-261.13714735776188</v>
      </c>
      <c r="S517" s="372">
        <f t="shared" si="202"/>
        <v>-81.137147357761876</v>
      </c>
      <c r="U517" s="345">
        <f t="shared" si="208"/>
        <v>70795</v>
      </c>
      <c r="V517" s="345">
        <f t="shared" si="209"/>
        <v>5011932025</v>
      </c>
      <c r="X517" s="371">
        <f t="shared" si="203"/>
        <v>8.3801488095394401</v>
      </c>
      <c r="Y517" s="372">
        <f t="shared" si="204"/>
        <v>-71.124469699064434</v>
      </c>
      <c r="AA517" s="371">
        <f t="shared" si="205"/>
        <v>24.014502127979426</v>
      </c>
      <c r="AB517" s="372">
        <f t="shared" si="206"/>
        <v>-190.01267765869738</v>
      </c>
      <c r="AD517">
        <f t="shared" si="210"/>
        <v>0</v>
      </c>
      <c r="AE517">
        <f t="shared" si="213"/>
        <v>0</v>
      </c>
    </row>
    <row r="518" spans="1:31" x14ac:dyDescent="0.2">
      <c r="A518" s="373">
        <v>71207.25</v>
      </c>
      <c r="B518" s="390">
        <f t="shared" si="207"/>
        <v>71.207250000000002</v>
      </c>
      <c r="C518" s="363">
        <f t="shared" si="188"/>
        <v>100.49477454775889</v>
      </c>
      <c r="D518" s="364">
        <f t="shared" si="189"/>
        <v>1.5608453964286819</v>
      </c>
      <c r="E518" s="364">
        <f t="shared" si="190"/>
        <v>1.1350114047910316</v>
      </c>
      <c r="F518" s="365">
        <f t="shared" si="191"/>
        <v>0.4927222792501213</v>
      </c>
      <c r="G518" s="364">
        <f t="shared" si="192"/>
        <v>2.3427765179204649</v>
      </c>
      <c r="H518" s="365">
        <f t="shared" si="193"/>
        <v>-1.1297963779928626</v>
      </c>
      <c r="I518" s="363">
        <f t="shared" si="194"/>
        <v>295380.90076388337</v>
      </c>
      <c r="J518" s="366">
        <f t="shared" si="195"/>
        <v>1.5707929413356561</v>
      </c>
      <c r="K518" s="374">
        <f t="shared" si="211"/>
        <v>91.397573698513654</v>
      </c>
      <c r="L518" s="375">
        <f t="shared" si="212"/>
        <v>1.5598548990054562</v>
      </c>
      <c r="M518" s="363">
        <f t="shared" si="196"/>
        <v>3.010376182930973</v>
      </c>
      <c r="N518" s="366">
        <f t="shared" si="197"/>
        <v>1.2321777852076947</v>
      </c>
      <c r="O518" s="367">
        <f t="shared" si="198"/>
        <v>1.5593051348799527</v>
      </c>
      <c r="P518" s="368">
        <f t="shared" si="199"/>
        <v>1.1227569999715978</v>
      </c>
      <c r="Q518" s="369">
        <f t="shared" si="200"/>
        <v>-25.181194145958557</v>
      </c>
      <c r="R518" s="370">
        <f t="shared" si="201"/>
        <v>-261.48603896261494</v>
      </c>
      <c r="S518" s="372">
        <f t="shared" si="202"/>
        <v>-81.486038962614941</v>
      </c>
      <c r="U518" s="345">
        <f t="shared" si="208"/>
        <v>71207.25</v>
      </c>
      <c r="V518" s="345">
        <f t="shared" si="209"/>
        <v>5070472452.5625</v>
      </c>
      <c r="X518" s="371">
        <f t="shared" si="203"/>
        <v>8.3353040711683839</v>
      </c>
      <c r="Y518" s="372">
        <f t="shared" si="204"/>
        <v>-71.22529044522085</v>
      </c>
      <c r="AA518" s="371">
        <f t="shared" si="205"/>
        <v>23.984727050707058</v>
      </c>
      <c r="AB518" s="372">
        <f t="shared" si="206"/>
        <v>-190.26074851739409</v>
      </c>
      <c r="AD518">
        <f t="shared" si="210"/>
        <v>0</v>
      </c>
      <c r="AE518">
        <f t="shared" si="213"/>
        <v>0</v>
      </c>
    </row>
    <row r="519" spans="1:31" x14ac:dyDescent="0.2">
      <c r="A519" s="373">
        <v>71619.5</v>
      </c>
      <c r="B519" s="390">
        <f t="shared" si="207"/>
        <v>71.619500000000002</v>
      </c>
      <c r="C519" s="363">
        <f t="shared" si="188"/>
        <v>101.07652542859172</v>
      </c>
      <c r="D519" s="364">
        <f t="shared" si="189"/>
        <v>1.5609026713688163</v>
      </c>
      <c r="E519" s="364">
        <f t="shared" si="190"/>
        <v>1.1364850074311785</v>
      </c>
      <c r="F519" s="365">
        <f t="shared" si="191"/>
        <v>0.49513195308656954</v>
      </c>
      <c r="G519" s="364">
        <f t="shared" si="192"/>
        <v>2.3538745142947075</v>
      </c>
      <c r="H519" s="365">
        <f t="shared" si="193"/>
        <v>-1.1320206002370119</v>
      </c>
      <c r="I519" s="363">
        <f t="shared" si="194"/>
        <v>297090.99034519034</v>
      </c>
      <c r="J519" s="366">
        <f t="shared" si="195"/>
        <v>1.5707929608227449</v>
      </c>
      <c r="K519" s="374">
        <f t="shared" si="211"/>
        <v>91.92665117620831</v>
      </c>
      <c r="L519" s="375">
        <f t="shared" si="212"/>
        <v>1.5599178741271187</v>
      </c>
      <c r="M519" s="363">
        <f t="shared" si="196"/>
        <v>3.0258863370921003</v>
      </c>
      <c r="N519" s="366">
        <f t="shared" si="197"/>
        <v>1.2339824416159233</v>
      </c>
      <c r="O519" s="367">
        <f t="shared" si="198"/>
        <v>1.5650213827832462</v>
      </c>
      <c r="P519" s="368">
        <f t="shared" si="199"/>
        <v>1.1271793895083901</v>
      </c>
      <c r="Q519" s="369">
        <f t="shared" si="200"/>
        <v>-25.255438152328015</v>
      </c>
      <c r="R519" s="370">
        <f t="shared" si="201"/>
        <v>-261.83187134113507</v>
      </c>
      <c r="S519" s="372">
        <f t="shared" si="202"/>
        <v>-81.83187134113507</v>
      </c>
      <c r="U519" s="345">
        <f t="shared" si="208"/>
        <v>71619.5</v>
      </c>
      <c r="V519" s="345">
        <f t="shared" si="209"/>
        <v>5129352780.25</v>
      </c>
      <c r="X519" s="371">
        <f t="shared" si="203"/>
        <v>8.2906612825834962</v>
      </c>
      <c r="Y519" s="372">
        <f t="shared" si="204"/>
        <v>-71.325082548839973</v>
      </c>
      <c r="AA519" s="371">
        <f t="shared" si="205"/>
        <v>23.955125832922487</v>
      </c>
      <c r="AB519" s="372">
        <f t="shared" si="206"/>
        <v>-190.50678879229511</v>
      </c>
      <c r="AD519">
        <f t="shared" si="210"/>
        <v>0</v>
      </c>
      <c r="AE519">
        <f t="shared" si="213"/>
        <v>0</v>
      </c>
    </row>
    <row r="520" spans="1:31" x14ac:dyDescent="0.2">
      <c r="A520" s="373">
        <v>72031.75</v>
      </c>
      <c r="B520" s="390">
        <f t="shared" si="207"/>
        <v>72.031750000000002</v>
      </c>
      <c r="C520" s="363">
        <f t="shared" si="188"/>
        <v>101.65827663720297</v>
      </c>
      <c r="D520" s="364">
        <f t="shared" si="189"/>
        <v>1.560959290784238</v>
      </c>
      <c r="E520" s="364">
        <f t="shared" si="190"/>
        <v>1.1379651919902518</v>
      </c>
      <c r="F520" s="365">
        <f t="shared" si="191"/>
        <v>0.49753537218209476</v>
      </c>
      <c r="G520" s="364">
        <f t="shared" si="192"/>
        <v>2.3649840463487677</v>
      </c>
      <c r="H520" s="365">
        <f t="shared" si="193"/>
        <v>-1.1342239366916338</v>
      </c>
      <c r="I520" s="363">
        <f t="shared" si="194"/>
        <v>298801.07992649736</v>
      </c>
      <c r="J520" s="366">
        <f t="shared" si="195"/>
        <v>1.5707929800867781</v>
      </c>
      <c r="K520" s="374">
        <f t="shared" si="211"/>
        <v>92.455729014299266</v>
      </c>
      <c r="L520" s="375">
        <f t="shared" si="212"/>
        <v>1.5599801284988553</v>
      </c>
      <c r="M520" s="363">
        <f t="shared" si="196"/>
        <v>3.0414062453841582</v>
      </c>
      <c r="N520" s="366">
        <f t="shared" si="197"/>
        <v>1.2357686859290877</v>
      </c>
      <c r="O520" s="367">
        <f t="shared" si="198"/>
        <v>1.570758765140293</v>
      </c>
      <c r="P520" s="368">
        <f t="shared" si="199"/>
        <v>1.1315820404441859</v>
      </c>
      <c r="Q520" s="369">
        <f t="shared" si="200"/>
        <v>-25.329310058746948</v>
      </c>
      <c r="R520" s="370">
        <f t="shared" si="201"/>
        <v>-262.17468327279636</v>
      </c>
      <c r="S520" s="372">
        <f t="shared" si="202"/>
        <v>-82.174683272796358</v>
      </c>
      <c r="U520" s="345">
        <f t="shared" si="208"/>
        <v>72031.75</v>
      </c>
      <c r="V520" s="345">
        <f t="shared" si="209"/>
        <v>5188573008.0625</v>
      </c>
      <c r="X520" s="371">
        <f t="shared" si="203"/>
        <v>8.2462189559859311</v>
      </c>
      <c r="Y520" s="372">
        <f t="shared" si="204"/>
        <v>-71.423861000267451</v>
      </c>
      <c r="AA520" s="371">
        <f t="shared" si="205"/>
        <v>23.925696253101115</v>
      </c>
      <c r="AB520" s="372">
        <f t="shared" si="206"/>
        <v>-190.75082227252895</v>
      </c>
      <c r="AD520">
        <f t="shared" si="210"/>
        <v>0</v>
      </c>
      <c r="AE520">
        <f t="shared" si="213"/>
        <v>0</v>
      </c>
    </row>
    <row r="521" spans="1:31" x14ac:dyDescent="0.2">
      <c r="A521" s="373">
        <v>72444</v>
      </c>
      <c r="B521" s="390">
        <f t="shared" si="207"/>
        <v>72.444000000000003</v>
      </c>
      <c r="C521" s="363">
        <f t="shared" si="188"/>
        <v>102.24002816799738</v>
      </c>
      <c r="D521" s="364">
        <f t="shared" si="189"/>
        <v>1.5610152658644987</v>
      </c>
      <c r="E521" s="364">
        <f t="shared" si="190"/>
        <v>1.1394519328178805</v>
      </c>
      <c r="F521" s="365">
        <f t="shared" si="191"/>
        <v>0.49993253319985431</v>
      </c>
      <c r="G521" s="364">
        <f t="shared" si="192"/>
        <v>2.3761049522766617</v>
      </c>
      <c r="H521" s="365">
        <f t="shared" si="193"/>
        <v>-1.136406659068365</v>
      </c>
      <c r="I521" s="363">
        <f t="shared" si="194"/>
        <v>300511.1695078045</v>
      </c>
      <c r="J521" s="366">
        <f t="shared" si="195"/>
        <v>1.5707929991315634</v>
      </c>
      <c r="K521" s="374">
        <f t="shared" si="211"/>
        <v>92.984807206634599</v>
      </c>
      <c r="L521" s="375">
        <f t="shared" si="212"/>
        <v>1.5600416744232557</v>
      </c>
      <c r="M521" s="363">
        <f t="shared" si="196"/>
        <v>3.0569357592434607</v>
      </c>
      <c r="N521" s="366">
        <f t="shared" si="197"/>
        <v>1.2375367872663428</v>
      </c>
      <c r="O521" s="367">
        <f t="shared" si="198"/>
        <v>1.5765172081018339</v>
      </c>
      <c r="P521" s="368">
        <f t="shared" si="199"/>
        <v>1.1359650763997888</v>
      </c>
      <c r="Q521" s="369">
        <f t="shared" si="200"/>
        <v>-25.402813516165974</v>
      </c>
      <c r="R521" s="370">
        <f t="shared" si="201"/>
        <v>-262.51451295550385</v>
      </c>
      <c r="S521" s="372">
        <f t="shared" si="202"/>
        <v>-82.514512955503847</v>
      </c>
      <c r="U521" s="345">
        <f t="shared" si="208"/>
        <v>72444</v>
      </c>
      <c r="V521" s="345">
        <f t="shared" si="209"/>
        <v>5248133136</v>
      </c>
      <c r="X521" s="371">
        <f t="shared" si="203"/>
        <v>8.20197561370634</v>
      </c>
      <c r="Y521" s="372">
        <f t="shared" si="204"/>
        <v>-71.521640514226789</v>
      </c>
      <c r="AA521" s="371">
        <f t="shared" si="205"/>
        <v>23.896436137961686</v>
      </c>
      <c r="AB521" s="372">
        <f t="shared" si="206"/>
        <v>-190.99287244127706</v>
      </c>
      <c r="AD521">
        <f t="shared" si="210"/>
        <v>0</v>
      </c>
      <c r="AE521">
        <f t="shared" si="213"/>
        <v>0</v>
      </c>
    </row>
    <row r="522" spans="1:31" x14ac:dyDescent="0.2">
      <c r="A522" s="373">
        <v>72865.75</v>
      </c>
      <c r="B522" s="390">
        <f t="shared" si="207"/>
        <v>72.865750000000006</v>
      </c>
      <c r="C522" s="363">
        <f t="shared" si="188"/>
        <v>102.83518606541</v>
      </c>
      <c r="D522" s="364">
        <f t="shared" si="189"/>
        <v>1.5610718754736981</v>
      </c>
      <c r="E522" s="364">
        <f t="shared" si="190"/>
        <v>1.1409796924111129</v>
      </c>
      <c r="F522" s="365">
        <f t="shared" si="191"/>
        <v>0.50237845582321861</v>
      </c>
      <c r="G522" s="364">
        <f t="shared" si="192"/>
        <v>2.3874937356644166</v>
      </c>
      <c r="H522" s="365">
        <f t="shared" si="193"/>
        <v>-1.1386186274342123</v>
      </c>
      <c r="I522" s="363">
        <f t="shared" si="194"/>
        <v>302260.66685387207</v>
      </c>
      <c r="J522" s="366">
        <f t="shared" si="195"/>
        <v>1.5707930183922176</v>
      </c>
      <c r="K522" s="374">
        <f t="shared" si="211"/>
        <v>93.526077979604906</v>
      </c>
      <c r="L522" s="375">
        <f t="shared" si="212"/>
        <v>1.5601039180415535</v>
      </c>
      <c r="M522" s="363">
        <f t="shared" si="196"/>
        <v>3.0728329276841131</v>
      </c>
      <c r="N522" s="366">
        <f t="shared" si="197"/>
        <v>1.2393271336803995</v>
      </c>
      <c r="O522" s="367">
        <f t="shared" si="198"/>
        <v>1.5824300685350841</v>
      </c>
      <c r="P522" s="368">
        <f t="shared" si="199"/>
        <v>1.1404289464576129</v>
      </c>
      <c r="Q522" s="369">
        <f t="shared" si="200"/>
        <v>-25.477633271624317</v>
      </c>
      <c r="R522" s="370">
        <f t="shared" si="201"/>
        <v>-262.85912687095384</v>
      </c>
      <c r="S522" s="372">
        <f t="shared" si="202"/>
        <v>-82.859126870953844</v>
      </c>
      <c r="U522" s="345">
        <f t="shared" si="208"/>
        <v>72865.75</v>
      </c>
      <c r="V522" s="345">
        <f t="shared" si="209"/>
        <v>5309417523.0625</v>
      </c>
      <c r="X522" s="371">
        <f t="shared" si="203"/>
        <v>8.1569171011063943</v>
      </c>
      <c r="Y522" s="372">
        <f t="shared" si="204"/>
        <v>-71.620654614655862</v>
      </c>
      <c r="AA522" s="371">
        <f t="shared" si="205"/>
        <v>23.866674895103287</v>
      </c>
      <c r="AB522" s="372">
        <f t="shared" si="206"/>
        <v>-191.23847225629802</v>
      </c>
      <c r="AD522">
        <f t="shared" si="210"/>
        <v>0</v>
      </c>
      <c r="AE522">
        <f t="shared" si="213"/>
        <v>0</v>
      </c>
    </row>
    <row r="523" spans="1:31" x14ac:dyDescent="0.2">
      <c r="A523" s="373">
        <v>73287.5</v>
      </c>
      <c r="B523" s="390">
        <f t="shared" si="207"/>
        <v>73.287499999999994</v>
      </c>
      <c r="C523" s="363">
        <f t="shared" si="188"/>
        <v>103.4303442885806</v>
      </c>
      <c r="D523" s="364">
        <f t="shared" si="189"/>
        <v>1.5611278335977756</v>
      </c>
      <c r="E523" s="364">
        <f t="shared" si="190"/>
        <v>1.142514259679128</v>
      </c>
      <c r="F523" s="365">
        <f t="shared" si="191"/>
        <v>0.50481782252890961</v>
      </c>
      <c r="G523" s="364">
        <f t="shared" si="192"/>
        <v>2.3988940896414954</v>
      </c>
      <c r="H523" s="365">
        <f t="shared" si="193"/>
        <v>-1.140809582395508</v>
      </c>
      <c r="I523" s="363">
        <f t="shared" si="194"/>
        <v>304010.1641999397</v>
      </c>
      <c r="J523" s="366">
        <f t="shared" si="195"/>
        <v>1.5707930374311918</v>
      </c>
      <c r="K523" s="374">
        <f t="shared" si="211"/>
        <v>94.067349110750371</v>
      </c>
      <c r="L523" s="375">
        <f t="shared" si="212"/>
        <v>1.5601654453504643</v>
      </c>
      <c r="M523" s="363">
        <f t="shared" si="196"/>
        <v>3.0887398441947966</v>
      </c>
      <c r="N523" s="366">
        <f t="shared" si="197"/>
        <v>1.2410990452659441</v>
      </c>
      <c r="O523" s="367">
        <f t="shared" si="198"/>
        <v>1.5883648186509802</v>
      </c>
      <c r="P523" s="368">
        <f t="shared" si="199"/>
        <v>1.1448725474193251</v>
      </c>
      <c r="Q523" s="369">
        <f t="shared" si="200"/>
        <v>-25.552074950304473</v>
      </c>
      <c r="R523" s="370">
        <f t="shared" si="201"/>
        <v>-263.20069856334385</v>
      </c>
      <c r="S523" s="372">
        <f t="shared" si="202"/>
        <v>-83.200698563343849</v>
      </c>
      <c r="U523" s="345">
        <f t="shared" si="208"/>
        <v>73287.5</v>
      </c>
      <c r="V523" s="345">
        <f t="shared" si="209"/>
        <v>5371057656.25</v>
      </c>
      <c r="X523" s="371">
        <f t="shared" si="203"/>
        <v>8.112063753528151</v>
      </c>
      <c r="Y523" s="372">
        <f t="shared" si="204"/>
        <v>-71.718653506017347</v>
      </c>
      <c r="AA523" s="371">
        <f t="shared" si="205"/>
        <v>23.837086564001382</v>
      </c>
      <c r="AB523" s="372">
        <f t="shared" si="206"/>
        <v>-191.4820450573265</v>
      </c>
      <c r="AD523">
        <f t="shared" si="210"/>
        <v>0</v>
      </c>
      <c r="AE523">
        <f t="shared" si="213"/>
        <v>0</v>
      </c>
    </row>
    <row r="524" spans="1:31" x14ac:dyDescent="0.2">
      <c r="A524" s="373">
        <v>73709.25</v>
      </c>
      <c r="B524" s="390">
        <f t="shared" si="207"/>
        <v>73.709249999999997</v>
      </c>
      <c r="C524" s="363">
        <f t="shared" si="188"/>
        <v>104.0255028319179</v>
      </c>
      <c r="D524" s="364">
        <f t="shared" si="189"/>
        <v>1.5611831514183545</v>
      </c>
      <c r="E524" s="364">
        <f t="shared" si="190"/>
        <v>1.1440556072277119</v>
      </c>
      <c r="F524" s="365">
        <f t="shared" si="191"/>
        <v>0.50725063072558363</v>
      </c>
      <c r="G524" s="364">
        <f t="shared" si="192"/>
        <v>2.4103058500268975</v>
      </c>
      <c r="H524" s="365">
        <f t="shared" si="193"/>
        <v>-1.1429798012357086</v>
      </c>
      <c r="I524" s="363">
        <f t="shared" si="194"/>
        <v>305759.6615460075</v>
      </c>
      <c r="J524" s="366">
        <f t="shared" si="195"/>
        <v>1.5707930562522916</v>
      </c>
      <c r="K524" s="374">
        <f t="shared" si="211"/>
        <v>94.608620593923476</v>
      </c>
      <c r="L524" s="375">
        <f t="shared" si="212"/>
        <v>1.5602262686438901</v>
      </c>
      <c r="M524" s="363">
        <f t="shared" si="196"/>
        <v>3.1046563589408294</v>
      </c>
      <c r="N524" s="366">
        <f t="shared" si="197"/>
        <v>1.2428527943374692</v>
      </c>
      <c r="O524" s="367">
        <f t="shared" si="198"/>
        <v>1.5943213830097813</v>
      </c>
      <c r="P524" s="368">
        <f t="shared" si="199"/>
        <v>1.1492960101733738</v>
      </c>
      <c r="Q524" s="369">
        <f t="shared" si="200"/>
        <v>-25.626142280551448</v>
      </c>
      <c r="R524" s="370">
        <f t="shared" si="201"/>
        <v>-263.53926710663467</v>
      </c>
      <c r="S524" s="372">
        <f t="shared" si="202"/>
        <v>-83.539267106634668</v>
      </c>
      <c r="U524" s="345">
        <f t="shared" si="208"/>
        <v>73709.25</v>
      </c>
      <c r="V524" s="345">
        <f t="shared" si="209"/>
        <v>5433053535.5625</v>
      </c>
      <c r="X524" s="371">
        <f t="shared" si="203"/>
        <v>8.0674140223189852</v>
      </c>
      <c r="Y524" s="372">
        <f t="shared" si="204"/>
        <v>-71.815652086611749</v>
      </c>
      <c r="AA524" s="371">
        <f t="shared" si="205"/>
        <v>23.807668964963568</v>
      </c>
      <c r="AB524" s="372">
        <f t="shared" si="206"/>
        <v>-191.72361502002289</v>
      </c>
      <c r="AD524">
        <f t="shared" si="210"/>
        <v>0</v>
      </c>
      <c r="AE524">
        <f t="shared" si="213"/>
        <v>0</v>
      </c>
    </row>
    <row r="525" spans="1:31" x14ac:dyDescent="0.2">
      <c r="A525" s="373">
        <v>74131</v>
      </c>
      <c r="B525" s="390">
        <f t="shared" si="207"/>
        <v>74.131</v>
      </c>
      <c r="C525" s="363">
        <f t="shared" ref="C525:C588" si="214">SQRT(1+(A525/pole1)^2)</f>
        <v>104.62066168995793</v>
      </c>
      <c r="D525" s="364">
        <f t="shared" ref="D525:D588" si="215">ATAN(A525/pole1)</f>
        <v>1.5612378398626379</v>
      </c>
      <c r="E525" s="364">
        <f t="shared" ref="E525:E588" si="216">SQRT(1+(A525/Zero1)^2)</f>
        <v>1.1456037076893679</v>
      </c>
      <c r="F525" s="365">
        <f t="shared" ref="F525:F588" si="217">ATAN(A525/Zero1)</f>
        <v>0.50967687814634521</v>
      </c>
      <c r="G525" s="364">
        <f t="shared" ref="G525:G588" si="218">IF(VIN_nom&gt;Vout, 1, SQRT(1+(A525/z_RHP)^2))</f>
        <v>2.4217288555715282</v>
      </c>
      <c r="H525" s="365">
        <f t="shared" ref="H525:H588" si="219">IF(VIN_nom&gt;Vout, 0, -ATAN(A525/z_RHP))</f>
        <v>-1.1451295567957933</v>
      </c>
      <c r="I525" s="363">
        <f t="shared" ref="I525:I588" si="220">SQRT(1+(A525/Pole2)^2)</f>
        <v>307509.15889207536</v>
      </c>
      <c r="J525" s="366">
        <f t="shared" ref="J525:J588" si="221">ATAN(A525/Pole2)</f>
        <v>1.5707930748592351</v>
      </c>
      <c r="K525" s="374">
        <f t="shared" si="211"/>
        <v>95.149892423116555</v>
      </c>
      <c r="L525" s="375">
        <f t="shared" si="212"/>
        <v>1.5602863999360121</v>
      </c>
      <c r="M525" s="363">
        <f t="shared" ref="M525:M588" si="222">SQRT(1+(A525/pole4)^2)</f>
        <v>3.1205823250549583</v>
      </c>
      <c r="N525" s="366">
        <f t="shared" ref="N525:N588" si="223">ATAN(A525/pole4)</f>
        <v>1.2445886481023478</v>
      </c>
      <c r="O525" s="367">
        <f t="shared" ref="O525:O588" si="224">SQRT((1-(V525/pterm2))^2+(A525/pterm1)^2)</f>
        <v>1.6002996873725703</v>
      </c>
      <c r="P525" s="368">
        <f t="shared" ref="P525:P588" si="225">IF((ATAN((A525/pterm1)/(1-A525^2/pterm2))&gt;0),ATAN((A525/pterm1)/(1-A525^2/pterm2)),PI()+ATAN((A525/pterm1)/(1-A525^2/pterm2)))</f>
        <v>1.1536994650772332</v>
      </c>
      <c r="Q525" s="369">
        <f t="shared" ref="Q525:Q588" si="226">20*LOG10(((E525*K525*G525)/(C525*I525*O525*M525))*Adc)</f>
        <v>-25.699838932565761</v>
      </c>
      <c r="R525" s="370">
        <f t="shared" ref="R525:R588" si="227">((F525+L525+H525)-(D525+J525+P525+N525))*radconv</f>
        <v>-263.87487098006807</v>
      </c>
      <c r="S525" s="372">
        <f t="shared" ref="S525:S588" si="228">IF(R525&gt;0,R525,R525+180)</f>
        <v>-83.874870980068067</v>
      </c>
      <c r="U525" s="345">
        <f t="shared" si="208"/>
        <v>74131</v>
      </c>
      <c r="V525" s="345">
        <f t="shared" si="209"/>
        <v>5495405161</v>
      </c>
      <c r="X525" s="371">
        <f t="shared" ref="X525:X588" si="229">20*LOG10((K525/(I525*M525))*AEA)</f>
        <v>8.0229663703098471</v>
      </c>
      <c r="Y525" s="372">
        <f t="shared" ref="Y525:Y588" si="230">(L525-(J525+N525))*radconv</f>
        <v>-71.911664978144998</v>
      </c>
      <c r="AA525" s="371">
        <f t="shared" ref="AA525:AA588" si="231">20*LOG10((E525*G525/(C525*O525))*Acs*Am)</f>
        <v>23.778419964958395</v>
      </c>
      <c r="AB525" s="372">
        <f t="shared" ref="AB525:AB588" si="232">(F525+H525-(D525+P525))*radconv</f>
        <v>-191.96320600192306</v>
      </c>
      <c r="AD525">
        <f t="shared" si="210"/>
        <v>0</v>
      </c>
      <c r="AE525">
        <f t="shared" si="213"/>
        <v>0</v>
      </c>
    </row>
    <row r="526" spans="1:31" x14ac:dyDescent="0.2">
      <c r="A526" s="373">
        <v>74562.75</v>
      </c>
      <c r="B526" s="390">
        <f t="shared" ref="B526:B589" si="233">A526/1000</f>
        <v>74.562749999999994</v>
      </c>
      <c r="C526" s="363">
        <f t="shared" si="214"/>
        <v>105.22993251886439</v>
      </c>
      <c r="D526" s="364">
        <f t="shared" si="215"/>
        <v>1.5612931842209041</v>
      </c>
      <c r="E526" s="364">
        <f t="shared" si="216"/>
        <v>1.1471954811847198</v>
      </c>
      <c r="F526" s="365">
        <f t="shared" si="217"/>
        <v>0.51215385567170457</v>
      </c>
      <c r="G526" s="364">
        <f t="shared" si="218"/>
        <v>2.4334341918377982</v>
      </c>
      <c r="H526" s="365">
        <f t="shared" si="219"/>
        <v>-1.1473093680683426</v>
      </c>
      <c r="I526" s="363">
        <f t="shared" si="220"/>
        <v>309300.13809578569</v>
      </c>
      <c r="J526" s="366">
        <f t="shared" si="221"/>
        <v>1.5707930936893242</v>
      </c>
      <c r="K526" s="374">
        <f t="shared" si="211"/>
        <v>95.703998554318133</v>
      </c>
      <c r="L526" s="375">
        <f t="shared" si="212"/>
        <v>1.5603472524350963</v>
      </c>
      <c r="M526" s="363">
        <f t="shared" si="222"/>
        <v>3.136895547317776</v>
      </c>
      <c r="N526" s="366">
        <f t="shared" si="223"/>
        <v>1.2463473971517678</v>
      </c>
      <c r="O526" s="367">
        <f t="shared" si="224"/>
        <v>1.6064421847530175</v>
      </c>
      <c r="P526" s="368">
        <f t="shared" si="225"/>
        <v>1.1581867395557048</v>
      </c>
      <c r="Q526" s="369">
        <f t="shared" si="226"/>
        <v>-25.77490279210814</v>
      </c>
      <c r="R526" s="370">
        <f t="shared" si="227"/>
        <v>-264.21540088090785</v>
      </c>
      <c r="S526" s="372">
        <f t="shared" si="228"/>
        <v>-84.21540088090785</v>
      </c>
      <c r="U526" s="345">
        <f t="shared" ref="U526:U589" si="234">IF(Q526&lt;0,A526,1000000000)</f>
        <v>74562.75</v>
      </c>
      <c r="V526" s="345">
        <f t="shared" ref="V526:V589" si="235">A526^2</f>
        <v>5559603687.5625</v>
      </c>
      <c r="X526" s="371">
        <f t="shared" si="229"/>
        <v>7.9776725625139369</v>
      </c>
      <c r="Y526" s="372">
        <f t="shared" si="230"/>
        <v>-72.008948363524851</v>
      </c>
      <c r="AA526" s="371">
        <f t="shared" si="231"/>
        <v>23.748649913211924</v>
      </c>
      <c r="AB526" s="372">
        <f t="shared" si="232"/>
        <v>-192.20645251738298</v>
      </c>
      <c r="AD526">
        <f t="shared" ref="AD526:AD589" si="236">SUM((Q527&lt;0)*(Q526&gt;0))*A526</f>
        <v>0</v>
      </c>
      <c r="AE526">
        <f t="shared" si="213"/>
        <v>0</v>
      </c>
    </row>
    <row r="527" spans="1:31" x14ac:dyDescent="0.2">
      <c r="A527" s="373">
        <v>74994.5</v>
      </c>
      <c r="B527" s="390">
        <f t="shared" si="233"/>
        <v>74.994500000000002</v>
      </c>
      <c r="C527" s="363">
        <f t="shared" si="214"/>
        <v>105.83920366637902</v>
      </c>
      <c r="D527" s="364">
        <f t="shared" si="215"/>
        <v>1.5613478913916117</v>
      </c>
      <c r="E527" s="364">
        <f t="shared" si="216"/>
        <v>1.1487942736731305</v>
      </c>
      <c r="F527" s="365">
        <f t="shared" si="217"/>
        <v>0.5146239538310089</v>
      </c>
      <c r="G527" s="364">
        <f t="shared" si="218"/>
        <v>2.4451509800179969</v>
      </c>
      <c r="H527" s="365">
        <f t="shared" si="219"/>
        <v>-1.1494682988754237</v>
      </c>
      <c r="I527" s="363">
        <f t="shared" si="220"/>
        <v>311091.1172994962</v>
      </c>
      <c r="J527" s="366">
        <f t="shared" si="221"/>
        <v>1.5707931123026004</v>
      </c>
      <c r="K527" s="374">
        <f t="shared" si="211"/>
        <v>96.258105035834049</v>
      </c>
      <c r="L527" s="375">
        <f t="shared" si="212"/>
        <v>1.5604074043437515</v>
      </c>
      <c r="M527" s="363">
        <f t="shared" si="222"/>
        <v>3.1532183722052696</v>
      </c>
      <c r="N527" s="366">
        <f t="shared" si="223"/>
        <v>1.2480879429978589</v>
      </c>
      <c r="O527" s="367">
        <f t="shared" si="224"/>
        <v>1.6126073116579684</v>
      </c>
      <c r="P527" s="368">
        <f t="shared" si="225"/>
        <v>1.1626533208278331</v>
      </c>
      <c r="Q527" s="369">
        <f t="shared" si="226"/>
        <v>-25.849585789877771</v>
      </c>
      <c r="R527" s="370">
        <f t="shared" si="227"/>
        <v>-264.5529035980212</v>
      </c>
      <c r="S527" s="372">
        <f t="shared" si="228"/>
        <v>-84.552903598021203</v>
      </c>
      <c r="U527" s="345">
        <f t="shared" si="234"/>
        <v>74994.5</v>
      </c>
      <c r="V527" s="345">
        <f t="shared" si="235"/>
        <v>5624175030.25</v>
      </c>
      <c r="X527" s="371">
        <f t="shared" si="229"/>
        <v>7.9325873075241713</v>
      </c>
      <c r="Y527" s="372">
        <f t="shared" si="230"/>
        <v>-72.105228910631496</v>
      </c>
      <c r="AA527" s="371">
        <f t="shared" si="231"/>
        <v>23.719052170432057</v>
      </c>
      <c r="AB527" s="372">
        <f t="shared" si="232"/>
        <v>-192.44767468738974</v>
      </c>
      <c r="AD527">
        <f t="shared" si="236"/>
        <v>0</v>
      </c>
      <c r="AE527">
        <f t="shared" si="213"/>
        <v>0</v>
      </c>
    </row>
    <row r="528" spans="1:31" x14ac:dyDescent="0.2">
      <c r="A528" s="373">
        <v>75426.25</v>
      </c>
      <c r="B528" s="390">
        <f t="shared" si="233"/>
        <v>75.426249999999996</v>
      </c>
      <c r="C528" s="363">
        <f t="shared" si="214"/>
        <v>106.44847512703105</v>
      </c>
      <c r="D528" s="364">
        <f t="shared" si="215"/>
        <v>1.5614019723155041</v>
      </c>
      <c r="E528" s="364">
        <f t="shared" si="216"/>
        <v>1.1504000558902236</v>
      </c>
      <c r="F528" s="365">
        <f t="shared" si="217"/>
        <v>0.51708717122733661</v>
      </c>
      <c r="G528" s="364">
        <f t="shared" si="218"/>
        <v>2.4568790562705507</v>
      </c>
      <c r="H528" s="365">
        <f t="shared" si="219"/>
        <v>-1.1516066279693353</v>
      </c>
      <c r="I528" s="363">
        <f t="shared" si="220"/>
        <v>312882.09650320676</v>
      </c>
      <c r="J528" s="366">
        <f t="shared" si="221"/>
        <v>1.5707931307027867</v>
      </c>
      <c r="K528" s="374">
        <f t="shared" si="211"/>
        <v>96.812211861649217</v>
      </c>
      <c r="L528" s="375">
        <f t="shared" si="212"/>
        <v>1.5604668676910731</v>
      </c>
      <c r="M528" s="363">
        <f t="shared" si="222"/>
        <v>3.1695506513601717</v>
      </c>
      <c r="N528" s="366">
        <f t="shared" si="223"/>
        <v>1.2498105564085802</v>
      </c>
      <c r="O528" s="367">
        <f t="shared" si="224"/>
        <v>1.6187949922719407</v>
      </c>
      <c r="P528" s="368">
        <f t="shared" si="225"/>
        <v>1.1670993469177133</v>
      </c>
      <c r="Q528" s="369">
        <f t="shared" si="226"/>
        <v>-25.923891682782717</v>
      </c>
      <c r="R528" s="370">
        <f t="shared" si="227"/>
        <v>-264.88741854269097</v>
      </c>
      <c r="S528" s="372">
        <f t="shared" si="228"/>
        <v>-84.887418542690966</v>
      </c>
      <c r="U528" s="345">
        <f t="shared" si="234"/>
        <v>75426.25</v>
      </c>
      <c r="V528" s="345">
        <f t="shared" si="235"/>
        <v>5689119189.0625</v>
      </c>
      <c r="X528" s="371">
        <f t="shared" si="229"/>
        <v>7.8877089940303584</v>
      </c>
      <c r="Y528" s="372">
        <f t="shared" si="230"/>
        <v>-72.200521444323115</v>
      </c>
      <c r="AA528" s="371">
        <f t="shared" si="231"/>
        <v>23.689624591020927</v>
      </c>
      <c r="AB528" s="372">
        <f t="shared" si="232"/>
        <v>-192.68689709836787</v>
      </c>
      <c r="AD528">
        <f t="shared" si="236"/>
        <v>0</v>
      </c>
      <c r="AE528">
        <f t="shared" si="213"/>
        <v>0</v>
      </c>
    </row>
    <row r="529" spans="1:31" x14ac:dyDescent="0.2">
      <c r="A529" s="373">
        <v>75858</v>
      </c>
      <c r="B529" s="390">
        <f t="shared" si="233"/>
        <v>75.858000000000004</v>
      </c>
      <c r="C529" s="363">
        <f t="shared" si="214"/>
        <v>107.0577468954742</v>
      </c>
      <c r="D529" s="364">
        <f t="shared" si="215"/>
        <v>1.5614554376842815</v>
      </c>
      <c r="E529" s="364">
        <f t="shared" si="216"/>
        <v>1.1520127986072044</v>
      </c>
      <c r="F529" s="365">
        <f t="shared" si="217"/>
        <v>0.51954350680552419</v>
      </c>
      <c r="G529" s="364">
        <f t="shared" si="218"/>
        <v>2.4686182597110822</v>
      </c>
      <c r="H529" s="365">
        <f t="shared" si="219"/>
        <v>-1.1537246295613655</v>
      </c>
      <c r="I529" s="363">
        <f t="shared" si="220"/>
        <v>314673.0757069175</v>
      </c>
      <c r="J529" s="366">
        <f t="shared" si="221"/>
        <v>1.5707931488935214</v>
      </c>
      <c r="K529" s="374">
        <f t="shared" si="211"/>
        <v>97.36631902588546</v>
      </c>
      <c r="L529" s="375">
        <f t="shared" si="212"/>
        <v>1.560525654232348</v>
      </c>
      <c r="M529" s="363">
        <f t="shared" si="222"/>
        <v>3.1858922393823379</v>
      </c>
      <c r="N529" s="366">
        <f t="shared" si="223"/>
        <v>1.2515155030269653</v>
      </c>
      <c r="O529" s="367">
        <f t="shared" si="224"/>
        <v>1.6250051520440549</v>
      </c>
      <c r="P529" s="368">
        <f t="shared" si="225"/>
        <v>1.1715249552023912</v>
      </c>
      <c r="Q529" s="369">
        <f t="shared" si="226"/>
        <v>-25.997824169642591</v>
      </c>
      <c r="R529" s="370">
        <f t="shared" si="227"/>
        <v>-265.21898451714208</v>
      </c>
      <c r="S529" s="372">
        <f t="shared" si="228"/>
        <v>-85.218984517142076</v>
      </c>
      <c r="U529" s="345">
        <f t="shared" si="234"/>
        <v>75858</v>
      </c>
      <c r="V529" s="345">
        <f t="shared" si="235"/>
        <v>5754436164</v>
      </c>
      <c r="X529" s="371">
        <f t="shared" si="229"/>
        <v>7.8430360235797547</v>
      </c>
      <c r="Y529" s="372">
        <f t="shared" si="230"/>
        <v>-72.29484051150456</v>
      </c>
      <c r="AA529" s="371">
        <f t="shared" si="231"/>
        <v>23.660365074611658</v>
      </c>
      <c r="AB529" s="372">
        <f t="shared" si="232"/>
        <v>-192.92414400563754</v>
      </c>
      <c r="AD529">
        <f t="shared" si="236"/>
        <v>0</v>
      </c>
      <c r="AE529">
        <f t="shared" si="213"/>
        <v>0</v>
      </c>
    </row>
    <row r="530" spans="1:31" x14ac:dyDescent="0.2">
      <c r="A530" s="373">
        <v>76299.75</v>
      </c>
      <c r="B530" s="390">
        <f t="shared" si="233"/>
        <v>76.299750000000003</v>
      </c>
      <c r="C530" s="363">
        <f t="shared" si="214"/>
        <v>107.68113065667491</v>
      </c>
      <c r="D530" s="364">
        <f t="shared" si="215"/>
        <v>1.5615095151855534</v>
      </c>
      <c r="E530" s="364">
        <f t="shared" si="216"/>
        <v>1.1536700686923202</v>
      </c>
      <c r="F530" s="365">
        <f t="shared" si="217"/>
        <v>0.52204961142716588</v>
      </c>
      <c r="G530" s="364">
        <f t="shared" si="218"/>
        <v>2.4806407133110819</v>
      </c>
      <c r="H530" s="365">
        <f t="shared" si="219"/>
        <v>-1.1558709295033176</v>
      </c>
      <c r="I530" s="363">
        <f t="shared" si="220"/>
        <v>316505.53676827071</v>
      </c>
      <c r="J530" s="366">
        <f t="shared" si="221"/>
        <v>1.5707931672925062</v>
      </c>
      <c r="K530" s="374">
        <f t="shared" si="211"/>
        <v>97.933260516200178</v>
      </c>
      <c r="L530" s="375">
        <f t="shared" si="212"/>
        <v>1.5605851138414488</v>
      </c>
      <c r="M530" s="363">
        <f t="shared" si="222"/>
        <v>3.2026218100928663</v>
      </c>
      <c r="N530" s="366">
        <f t="shared" si="223"/>
        <v>1.2532419253491021</v>
      </c>
      <c r="O530" s="367">
        <f t="shared" si="224"/>
        <v>1.631382338475061</v>
      </c>
      <c r="P530" s="368">
        <f t="shared" si="225"/>
        <v>1.1760320773894384</v>
      </c>
      <c r="Q530" s="369">
        <f t="shared" si="226"/>
        <v>-26.073086366790751</v>
      </c>
      <c r="R530" s="370">
        <f t="shared" si="227"/>
        <v>-265.55521770183498</v>
      </c>
      <c r="S530" s="372">
        <f t="shared" si="228"/>
        <v>-85.555217701834977</v>
      </c>
      <c r="U530" s="345">
        <f t="shared" si="234"/>
        <v>76299.75</v>
      </c>
      <c r="V530" s="345">
        <f t="shared" si="235"/>
        <v>5821651850.0625</v>
      </c>
      <c r="X530" s="371">
        <f t="shared" si="229"/>
        <v>7.7975392363642548</v>
      </c>
      <c r="Y530" s="372">
        <f t="shared" si="230"/>
        <v>-72.390351493860507</v>
      </c>
      <c r="AA530" s="371">
        <f t="shared" si="231"/>
        <v>23.630599664678996</v>
      </c>
      <c r="AB530" s="372">
        <f t="shared" si="232"/>
        <v>-193.16486620797443</v>
      </c>
      <c r="AD530">
        <f t="shared" si="236"/>
        <v>0</v>
      </c>
      <c r="AE530">
        <f t="shared" si="213"/>
        <v>0</v>
      </c>
    </row>
    <row r="531" spans="1:31" x14ac:dyDescent="0.2">
      <c r="A531" s="373">
        <v>76741.5</v>
      </c>
      <c r="B531" s="390">
        <f t="shared" si="233"/>
        <v>76.741500000000002</v>
      </c>
      <c r="C531" s="363">
        <f t="shared" si="214"/>
        <v>108.30451472915071</v>
      </c>
      <c r="D531" s="364">
        <f t="shared" si="215"/>
        <v>1.5615629701634768</v>
      </c>
      <c r="E531" s="364">
        <f t="shared" si="216"/>
        <v>1.1553345636582744</v>
      </c>
      <c r="F531" s="365">
        <f t="shared" si="217"/>
        <v>0.52454851059649854</v>
      </c>
      <c r="G531" s="364">
        <f t="shared" si="218"/>
        <v>2.4926744839779755</v>
      </c>
      <c r="H531" s="365">
        <f t="shared" si="219"/>
        <v>-1.1579965159701577</v>
      </c>
      <c r="I531" s="363">
        <f t="shared" si="220"/>
        <v>318337.99782962399</v>
      </c>
      <c r="J531" s="366">
        <f t="shared" si="221"/>
        <v>1.5707931854796693</v>
      </c>
      <c r="K531" s="374">
        <f t="shared" si="211"/>
        <v>98.500202348766877</v>
      </c>
      <c r="L531" s="375">
        <f t="shared" si="212"/>
        <v>1.5606438889823191</v>
      </c>
      <c r="M531" s="363">
        <f t="shared" si="222"/>
        <v>3.2193608271026171</v>
      </c>
      <c r="N531" s="366">
        <f t="shared" si="223"/>
        <v>1.2549503997068605</v>
      </c>
      <c r="O531" s="367">
        <f t="shared" si="224"/>
        <v>1.6377829035262881</v>
      </c>
      <c r="P531" s="368">
        <f t="shared" si="225"/>
        <v>1.1805181138271159</v>
      </c>
      <c r="Q531" s="369">
        <f t="shared" si="226"/>
        <v>-26.147965313792302</v>
      </c>
      <c r="R531" s="370">
        <f t="shared" si="227"/>
        <v>-265.88844400381544</v>
      </c>
      <c r="S531" s="372">
        <f t="shared" si="228"/>
        <v>-85.888444003815437</v>
      </c>
      <c r="U531" s="345">
        <f t="shared" si="234"/>
        <v>76741.5</v>
      </c>
      <c r="V531" s="345">
        <f t="shared" si="235"/>
        <v>5889257822.25</v>
      </c>
      <c r="X531" s="371">
        <f t="shared" si="229"/>
        <v>7.7522540703701086</v>
      </c>
      <c r="Y531" s="372">
        <f t="shared" si="230"/>
        <v>-72.484873338609916</v>
      </c>
      <c r="AA531" s="371">
        <f t="shared" si="231"/>
        <v>23.60100588367159</v>
      </c>
      <c r="AB531" s="372">
        <f t="shared" si="232"/>
        <v>-193.40357066520554</v>
      </c>
      <c r="AD531">
        <f t="shared" si="236"/>
        <v>0</v>
      </c>
      <c r="AE531">
        <f t="shared" si="213"/>
        <v>0</v>
      </c>
    </row>
    <row r="532" spans="1:31" x14ac:dyDescent="0.2">
      <c r="A532" s="373">
        <v>77183.25</v>
      </c>
      <c r="B532" s="390">
        <f t="shared" si="233"/>
        <v>77.183250000000001</v>
      </c>
      <c r="C532" s="363">
        <f t="shared" si="214"/>
        <v>108.92789910755742</v>
      </c>
      <c r="D532" s="364">
        <f t="shared" si="215"/>
        <v>1.5616158133056754</v>
      </c>
      <c r="E532" s="364">
        <f t="shared" si="216"/>
        <v>1.1570062523234443</v>
      </c>
      <c r="F532" s="365">
        <f t="shared" si="217"/>
        <v>0.52704020426995268</v>
      </c>
      <c r="G532" s="364">
        <f t="shared" si="218"/>
        <v>2.5047194085953097</v>
      </c>
      <c r="H532" s="365">
        <f t="shared" si="219"/>
        <v>-1.1601016684416237</v>
      </c>
      <c r="I532" s="363">
        <f t="shared" si="220"/>
        <v>320170.45889097737</v>
      </c>
      <c r="J532" s="366">
        <f t="shared" si="221"/>
        <v>1.570793203458648</v>
      </c>
      <c r="K532" s="374">
        <f t="shared" si="211"/>
        <v>99.067144517709607</v>
      </c>
      <c r="L532" s="375">
        <f t="shared" si="212"/>
        <v>1.560701991405788</v>
      </c>
      <c r="M532" s="363">
        <f t="shared" si="222"/>
        <v>3.236109143826523</v>
      </c>
      <c r="N532" s="366">
        <f t="shared" si="223"/>
        <v>1.2566411947147411</v>
      </c>
      <c r="O532" s="367">
        <f t="shared" si="224"/>
        <v>1.6442067713666493</v>
      </c>
      <c r="P532" s="368">
        <f t="shared" si="225"/>
        <v>1.184983209467332</v>
      </c>
      <c r="Q532" s="369">
        <f t="shared" si="226"/>
        <v>-26.222464792349264</v>
      </c>
      <c r="R532" s="370">
        <f t="shared" si="227"/>
        <v>-266.21870307349053</v>
      </c>
      <c r="S532" s="372">
        <f t="shared" si="228"/>
        <v>-86.218703073490531</v>
      </c>
      <c r="U532" s="345">
        <f t="shared" si="234"/>
        <v>77183.25</v>
      </c>
      <c r="V532" s="345">
        <f t="shared" si="235"/>
        <v>5957254080.5625</v>
      </c>
      <c r="X532" s="371">
        <f t="shared" si="229"/>
        <v>7.7071788554760463</v>
      </c>
      <c r="Y532" s="372">
        <f t="shared" si="230"/>
        <v>-72.578420763165511</v>
      </c>
      <c r="AA532" s="371">
        <f t="shared" si="231"/>
        <v>23.571581620008693</v>
      </c>
      <c r="AB532" s="372">
        <f t="shared" si="232"/>
        <v>-193.64028231032498</v>
      </c>
      <c r="AD532">
        <f t="shared" si="236"/>
        <v>0</v>
      </c>
      <c r="AE532">
        <f t="shared" si="213"/>
        <v>0</v>
      </c>
    </row>
    <row r="533" spans="1:31" x14ac:dyDescent="0.2">
      <c r="A533" s="373">
        <v>77625</v>
      </c>
      <c r="B533" s="390">
        <f t="shared" si="233"/>
        <v>77.625</v>
      </c>
      <c r="C533" s="363">
        <f t="shared" si="214"/>
        <v>109.55128378667247</v>
      </c>
      <c r="D533" s="364">
        <f t="shared" si="215"/>
        <v>1.5616680550565225</v>
      </c>
      <c r="E533" s="364">
        <f t="shared" si="216"/>
        <v>1.1586851035517811</v>
      </c>
      <c r="F533" s="365">
        <f t="shared" si="217"/>
        <v>0.52952469276209213</v>
      </c>
      <c r="G533" s="364">
        <f t="shared" si="218"/>
        <v>2.5167753270194821</v>
      </c>
      <c r="H533" s="365">
        <f t="shared" si="219"/>
        <v>-1.1621866617742806</v>
      </c>
      <c r="I533" s="363">
        <f t="shared" si="220"/>
        <v>322002.91995233088</v>
      </c>
      <c r="J533" s="366">
        <f t="shared" si="221"/>
        <v>1.5707932212329963</v>
      </c>
      <c r="K533" s="374">
        <f t="shared" si="211"/>
        <v>99.634087017286191</v>
      </c>
      <c r="L533" s="375">
        <f t="shared" si="212"/>
        <v>1.5607594325952436</v>
      </c>
      <c r="M533" s="363">
        <f t="shared" si="222"/>
        <v>3.2528666166178493</v>
      </c>
      <c r="N533" s="366">
        <f t="shared" si="223"/>
        <v>1.2583145738610206</v>
      </c>
      <c r="O533" s="367">
        <f t="shared" si="224"/>
        <v>1.650653867490389</v>
      </c>
      <c r="P533" s="368">
        <f t="shared" si="225"/>
        <v>1.1894275084945456</v>
      </c>
      <c r="Q533" s="369">
        <f t="shared" si="226"/>
        <v>-26.296588526228035</v>
      </c>
      <c r="R533" s="370">
        <f t="shared" si="227"/>
        <v>-266.54603393955779</v>
      </c>
      <c r="S533" s="372">
        <f t="shared" si="228"/>
        <v>-86.546033939557788</v>
      </c>
      <c r="U533" s="345">
        <f t="shared" si="234"/>
        <v>77625</v>
      </c>
      <c r="V533" s="345">
        <f t="shared" si="235"/>
        <v>6025640625</v>
      </c>
      <c r="X533" s="371">
        <f t="shared" si="229"/>
        <v>7.6623119357528102</v>
      </c>
      <c r="Y533" s="372">
        <f t="shared" si="230"/>
        <v>-72.671008206547455</v>
      </c>
      <c r="AA533" s="371">
        <f t="shared" si="231"/>
        <v>23.542324805853156</v>
      </c>
      <c r="AB533" s="372">
        <f t="shared" si="232"/>
        <v>-193.87502573301035</v>
      </c>
      <c r="AD533">
        <f t="shared" si="236"/>
        <v>0</v>
      </c>
      <c r="AE533">
        <f t="shared" si="213"/>
        <v>0</v>
      </c>
    </row>
    <row r="534" spans="1:31" x14ac:dyDescent="0.2">
      <c r="A534" s="373">
        <v>78077</v>
      </c>
      <c r="B534" s="390">
        <f t="shared" si="233"/>
        <v>78.076999999999998</v>
      </c>
      <c r="C534" s="363">
        <f t="shared" si="214"/>
        <v>110.18913327191387</v>
      </c>
      <c r="D534" s="364">
        <f t="shared" si="215"/>
        <v>1.5617208971433956</v>
      </c>
      <c r="E534" s="364">
        <f t="shared" si="216"/>
        <v>1.1604102908039029</v>
      </c>
      <c r="F534" s="365">
        <f t="shared" si="217"/>
        <v>0.53205937206512821</v>
      </c>
      <c r="G534" s="364">
        <f t="shared" si="218"/>
        <v>2.5291221963710764</v>
      </c>
      <c r="H534" s="365">
        <f t="shared" si="219"/>
        <v>-1.1642994492976064</v>
      </c>
      <c r="I534" s="363">
        <f t="shared" si="220"/>
        <v>323877.89991776797</v>
      </c>
      <c r="J534" s="366">
        <f t="shared" si="221"/>
        <v>1.5707932392115813</v>
      </c>
      <c r="K534" s="374">
        <f t="shared" si="211"/>
        <v>100.21418471599195</v>
      </c>
      <c r="L534" s="375">
        <f t="shared" si="212"/>
        <v>1.5608175338817158</v>
      </c>
      <c r="M534" s="363">
        <f t="shared" si="222"/>
        <v>3.2700222462654676</v>
      </c>
      <c r="N534" s="366">
        <f t="shared" si="223"/>
        <v>1.2600090235858121</v>
      </c>
      <c r="O534" s="367">
        <f t="shared" si="224"/>
        <v>1.6572745233263508</v>
      </c>
      <c r="P534" s="368">
        <f t="shared" si="225"/>
        <v>1.1939535528890397</v>
      </c>
      <c r="Q534" s="369">
        <f t="shared" si="226"/>
        <v>-26.372047066934165</v>
      </c>
      <c r="R534" s="370">
        <f t="shared" si="227"/>
        <v>-266.87796908122579</v>
      </c>
      <c r="S534" s="372">
        <f t="shared" si="228"/>
        <v>-86.877969081225785</v>
      </c>
      <c r="U534" s="345">
        <f t="shared" si="234"/>
        <v>78077</v>
      </c>
      <c r="V534" s="345">
        <f t="shared" si="235"/>
        <v>6096017929</v>
      </c>
      <c r="X534" s="371">
        <f t="shared" si="229"/>
        <v>7.6166178498294821</v>
      </c>
      <c r="Y534" s="372">
        <f t="shared" si="230"/>
        <v>-72.764765096080154</v>
      </c>
      <c r="AA534" s="371">
        <f t="shared" si="231"/>
        <v>23.512560351070356</v>
      </c>
      <c r="AB534" s="372">
        <f t="shared" si="232"/>
        <v>-194.11320398514567</v>
      </c>
      <c r="AD534">
        <f t="shared" si="236"/>
        <v>0</v>
      </c>
      <c r="AE534">
        <f t="shared" si="213"/>
        <v>0</v>
      </c>
    </row>
    <row r="535" spans="1:31" x14ac:dyDescent="0.2">
      <c r="A535" s="373">
        <v>78529</v>
      </c>
      <c r="B535" s="390">
        <f t="shared" si="233"/>
        <v>78.528999999999996</v>
      </c>
      <c r="C535" s="363">
        <f t="shared" si="214"/>
        <v>110.82698306129325</v>
      </c>
      <c r="D535" s="364">
        <f t="shared" si="215"/>
        <v>1.5617731309793708</v>
      </c>
      <c r="E535" s="364">
        <f t="shared" si="216"/>
        <v>1.1621429110648989</v>
      </c>
      <c r="F535" s="365">
        <f t="shared" si="217"/>
        <v>0.53458650973818089</v>
      </c>
      <c r="G535" s="364">
        <f t="shared" si="218"/>
        <v>2.5414802456752965</v>
      </c>
      <c r="H535" s="365">
        <f t="shared" si="219"/>
        <v>-1.1663916990573486</v>
      </c>
      <c r="I535" s="363">
        <f t="shared" si="220"/>
        <v>325752.87988320523</v>
      </c>
      <c r="J535" s="366">
        <f t="shared" si="221"/>
        <v>1.5707932569832026</v>
      </c>
      <c r="K535" s="374">
        <f t="shared" ref="K535:K598" si="237">SQRT(1+(A535/Zero2)^2)</f>
        <v>100.79428274910269</v>
      </c>
      <c r="L535" s="375">
        <f t="shared" ref="L535:L598" si="238">ATAN(A535/Zero2)</f>
        <v>1.5608749663915191</v>
      </c>
      <c r="M535" s="363">
        <f t="shared" si="222"/>
        <v>3.2871871666554053</v>
      </c>
      <c r="N535" s="366">
        <f t="shared" si="223"/>
        <v>1.2616857820449696</v>
      </c>
      <c r="O535" s="367">
        <f t="shared" si="224"/>
        <v>1.6639193442577511</v>
      </c>
      <c r="P535" s="368">
        <f t="shared" si="225"/>
        <v>1.198458127273466</v>
      </c>
      <c r="Q535" s="369">
        <f t="shared" si="226"/>
        <v>-26.447119931331748</v>
      </c>
      <c r="R535" s="370">
        <f t="shared" si="227"/>
        <v>-267.20691927948019</v>
      </c>
      <c r="S535" s="372">
        <f t="shared" si="228"/>
        <v>-87.206919279480189</v>
      </c>
      <c r="U535" s="345">
        <f t="shared" si="234"/>
        <v>78529</v>
      </c>
      <c r="V535" s="345">
        <f t="shared" si="235"/>
        <v>6166803841</v>
      </c>
      <c r="X535" s="371">
        <f t="shared" si="229"/>
        <v>7.5711383753768713</v>
      </c>
      <c r="Y535" s="372">
        <f t="shared" si="230"/>
        <v>-72.857546656979068</v>
      </c>
      <c r="AA535" s="371">
        <f t="shared" si="231"/>
        <v>23.482966961125381</v>
      </c>
      <c r="AB535" s="372">
        <f t="shared" si="232"/>
        <v>-194.34937262250114</v>
      </c>
      <c r="AD535">
        <f t="shared" si="236"/>
        <v>0</v>
      </c>
      <c r="AE535">
        <f t="shared" si="213"/>
        <v>0</v>
      </c>
    </row>
    <row r="536" spans="1:31" x14ac:dyDescent="0.2">
      <c r="A536" s="373">
        <v>78981</v>
      </c>
      <c r="B536" s="390">
        <f t="shared" si="233"/>
        <v>78.980999999999995</v>
      </c>
      <c r="C536" s="363">
        <f t="shared" si="214"/>
        <v>111.46483314958938</v>
      </c>
      <c r="D536" s="364">
        <f t="shared" si="215"/>
        <v>1.5618247670061864</v>
      </c>
      <c r="E536" s="364">
        <f t="shared" si="216"/>
        <v>1.1638829311392098</v>
      </c>
      <c r="F536" s="365">
        <f t="shared" si="217"/>
        <v>0.53710610725527796</v>
      </c>
      <c r="G536" s="364">
        <f t="shared" si="218"/>
        <v>2.5538493126331363</v>
      </c>
      <c r="H536" s="365">
        <f t="shared" si="219"/>
        <v>-1.168463691013625</v>
      </c>
      <c r="I536" s="363">
        <f t="shared" si="220"/>
        <v>327627.85984864249</v>
      </c>
      <c r="J536" s="366">
        <f t="shared" si="221"/>
        <v>1.5707932745514139</v>
      </c>
      <c r="K536" s="374">
        <f t="shared" si="237"/>
        <v>101.37438111087768</v>
      </c>
      <c r="L536" s="375">
        <f t="shared" si="238"/>
        <v>1.5609317416051678</v>
      </c>
      <c r="M536" s="363">
        <f t="shared" si="222"/>
        <v>3.304361233001873</v>
      </c>
      <c r="N536" s="366">
        <f t="shared" si="223"/>
        <v>1.2633451155812596</v>
      </c>
      <c r="O536" s="367">
        <f t="shared" si="224"/>
        <v>1.6705882546801485</v>
      </c>
      <c r="P536" s="368">
        <f t="shared" si="225"/>
        <v>1.2029413835278699</v>
      </c>
      <c r="Q536" s="369">
        <f t="shared" si="226"/>
        <v>-26.521810928724754</v>
      </c>
      <c r="R536" s="370">
        <f t="shared" si="227"/>
        <v>-267.53292439348672</v>
      </c>
      <c r="S536" s="372">
        <f t="shared" si="228"/>
        <v>-87.532924393486724</v>
      </c>
      <c r="U536" s="345">
        <f t="shared" si="234"/>
        <v>78981</v>
      </c>
      <c r="V536" s="345">
        <f t="shared" si="235"/>
        <v>6237998361</v>
      </c>
      <c r="X536" s="371">
        <f t="shared" si="229"/>
        <v>7.5258717846190653</v>
      </c>
      <c r="Y536" s="372">
        <f t="shared" si="230"/>
        <v>-72.949367491979274</v>
      </c>
      <c r="AA536" s="371">
        <f t="shared" si="231"/>
        <v>23.453542554490177</v>
      </c>
      <c r="AB536" s="372">
        <f t="shared" si="232"/>
        <v>-194.58355690150742</v>
      </c>
      <c r="AD536">
        <f t="shared" si="236"/>
        <v>0</v>
      </c>
      <c r="AE536">
        <f t="shared" si="213"/>
        <v>0</v>
      </c>
    </row>
    <row r="537" spans="1:31" x14ac:dyDescent="0.2">
      <c r="A537" s="373">
        <v>79433</v>
      </c>
      <c r="B537" s="390">
        <f t="shared" si="233"/>
        <v>79.433000000000007</v>
      </c>
      <c r="C537" s="363">
        <f t="shared" si="214"/>
        <v>112.10268353169985</v>
      </c>
      <c r="D537" s="364">
        <f t="shared" si="215"/>
        <v>1.5618758154279451</v>
      </c>
      <c r="E537" s="364">
        <f t="shared" si="216"/>
        <v>1.165630317888138</v>
      </c>
      <c r="F537" s="365">
        <f t="shared" si="217"/>
        <v>0.53961816646460381</v>
      </c>
      <c r="G537" s="364">
        <f t="shared" si="218"/>
        <v>2.5662292379313643</v>
      </c>
      <c r="H537" s="365">
        <f t="shared" si="219"/>
        <v>-1.1705157004272477</v>
      </c>
      <c r="I537" s="363">
        <f t="shared" si="220"/>
        <v>329502.83981407993</v>
      </c>
      <c r="J537" s="366">
        <f t="shared" si="221"/>
        <v>1.5707932919196872</v>
      </c>
      <c r="K537" s="374">
        <f t="shared" si="237"/>
        <v>101.95447979570686</v>
      </c>
      <c r="L537" s="375">
        <f t="shared" si="238"/>
        <v>1.5609878707419065</v>
      </c>
      <c r="M537" s="363">
        <f t="shared" si="222"/>
        <v>3.3215443034371921</v>
      </c>
      <c r="N537" s="366">
        <f t="shared" si="223"/>
        <v>1.2649872854142901</v>
      </c>
      <c r="O537" s="367">
        <f t="shared" si="224"/>
        <v>1.6772811803745873</v>
      </c>
      <c r="P537" s="368">
        <f t="shared" si="225"/>
        <v>1.2074034726392513</v>
      </c>
      <c r="Q537" s="369">
        <f t="shared" si="226"/>
        <v>-26.596123810588278</v>
      </c>
      <c r="R537" s="370">
        <f t="shared" si="227"/>
        <v>-267.85602364836956</v>
      </c>
      <c r="S537" s="372">
        <f t="shared" si="228"/>
        <v>-87.856023648369558</v>
      </c>
      <c r="U537" s="345">
        <f t="shared" si="234"/>
        <v>79433</v>
      </c>
      <c r="V537" s="345">
        <f t="shared" si="235"/>
        <v>6309601489</v>
      </c>
      <c r="X537" s="371">
        <f t="shared" si="229"/>
        <v>7.4808163652924398</v>
      </c>
      <c r="Y537" s="372">
        <f t="shared" si="230"/>
        <v>-73.040241925245368</v>
      </c>
      <c r="AA537" s="371">
        <f t="shared" si="231"/>
        <v>23.42428509195328</v>
      </c>
      <c r="AB537" s="372">
        <f t="shared" si="232"/>
        <v>-194.81578172312416</v>
      </c>
      <c r="AD537">
        <f t="shared" si="236"/>
        <v>0</v>
      </c>
      <c r="AE537">
        <f t="shared" si="213"/>
        <v>0</v>
      </c>
    </row>
    <row r="538" spans="1:31" x14ac:dyDescent="0.2">
      <c r="A538" s="373">
        <v>79895.5</v>
      </c>
      <c r="B538" s="390">
        <f t="shared" si="233"/>
        <v>79.895499999999998</v>
      </c>
      <c r="C538" s="363">
        <f t="shared" si="214"/>
        <v>112.755351533564</v>
      </c>
      <c r="D538" s="364">
        <f t="shared" si="215"/>
        <v>1.5619274518722459</v>
      </c>
      <c r="E538" s="364">
        <f t="shared" si="216"/>
        <v>1.1674258874343613</v>
      </c>
      <c r="F538" s="365">
        <f t="shared" si="217"/>
        <v>0.54218078033215344</v>
      </c>
      <c r="G538" s="364">
        <f t="shared" si="218"/>
        <v>2.5789078265001604</v>
      </c>
      <c r="H538" s="365">
        <f t="shared" si="219"/>
        <v>-1.1725949762684329</v>
      </c>
      <c r="I538" s="363">
        <f t="shared" si="220"/>
        <v>331421.37573004188</v>
      </c>
      <c r="J538" s="366">
        <f t="shared" si="221"/>
        <v>1.570793309488008</v>
      </c>
      <c r="K538" s="374">
        <f t="shared" si="237"/>
        <v>102.54805455300011</v>
      </c>
      <c r="L538" s="375">
        <f t="shared" si="238"/>
        <v>1.5610446464363907</v>
      </c>
      <c r="M538" s="363">
        <f t="shared" si="222"/>
        <v>3.3391357133864874</v>
      </c>
      <c r="N538" s="366">
        <f t="shared" si="223"/>
        <v>1.2666501038266098</v>
      </c>
      <c r="O538" s="367">
        <f t="shared" si="224"/>
        <v>1.6841543659082077</v>
      </c>
      <c r="P538" s="368">
        <f t="shared" si="225"/>
        <v>1.2119474625997422</v>
      </c>
      <c r="Q538" s="369">
        <f t="shared" si="226"/>
        <v>-26.671775448238584</v>
      </c>
      <c r="R538" s="370">
        <f t="shared" si="227"/>
        <v>-268.18366089300883</v>
      </c>
      <c r="S538" s="372">
        <f t="shared" si="228"/>
        <v>-88.183660893008835</v>
      </c>
      <c r="U538" s="345">
        <f t="shared" si="234"/>
        <v>79895.5</v>
      </c>
      <c r="V538" s="345">
        <f t="shared" si="235"/>
        <v>6383290920.25</v>
      </c>
      <c r="X538" s="371">
        <f t="shared" si="229"/>
        <v>7.4349311214212035</v>
      </c>
      <c r="Y538" s="372">
        <f t="shared" si="230"/>
        <v>-73.132262401390832</v>
      </c>
      <c r="AA538" s="371">
        <f t="shared" si="231"/>
        <v>23.39451869817421</v>
      </c>
      <c r="AB538" s="372">
        <f t="shared" si="232"/>
        <v>-195.05139849161799</v>
      </c>
      <c r="AD538">
        <f t="shared" si="236"/>
        <v>0</v>
      </c>
      <c r="AE538">
        <f t="shared" ref="AE538:AE601" si="239">IF(AD538&gt;0,S538,0)</f>
        <v>0</v>
      </c>
    </row>
    <row r="539" spans="1:31" x14ac:dyDescent="0.2">
      <c r="A539" s="373">
        <v>80358</v>
      </c>
      <c r="B539" s="390">
        <f t="shared" si="233"/>
        <v>80.358000000000004</v>
      </c>
      <c r="C539" s="363">
        <f t="shared" si="214"/>
        <v>113.40801983260984</v>
      </c>
      <c r="D539" s="364">
        <f t="shared" si="215"/>
        <v>1.5619784939765224</v>
      </c>
      <c r="E539" s="364">
        <f t="shared" si="216"/>
        <v>1.1692290998785992</v>
      </c>
      <c r="F539" s="365">
        <f t="shared" si="217"/>
        <v>0.54473550668755477</v>
      </c>
      <c r="G539" s="364">
        <f t="shared" si="218"/>
        <v>2.5915974555680852</v>
      </c>
      <c r="H539" s="365">
        <f t="shared" si="219"/>
        <v>-1.1746538987955428</v>
      </c>
      <c r="I539" s="363">
        <f t="shared" si="220"/>
        <v>333339.91164600401</v>
      </c>
      <c r="J539" s="366">
        <f t="shared" si="221"/>
        <v>1.5707933268541003</v>
      </c>
      <c r="K539" s="374">
        <f t="shared" si="237"/>
        <v>103.1416296370502</v>
      </c>
      <c r="L539" s="375">
        <f t="shared" si="238"/>
        <v>1.5611007686483094</v>
      </c>
      <c r="M539" s="363">
        <f t="shared" si="222"/>
        <v>3.3567362591454026</v>
      </c>
      <c r="N539" s="366">
        <f t="shared" si="223"/>
        <v>1.2682954892681844</v>
      </c>
      <c r="O539" s="367">
        <f t="shared" si="224"/>
        <v>1.6910525425772942</v>
      </c>
      <c r="P539" s="368">
        <f t="shared" si="225"/>
        <v>1.2164696074940418</v>
      </c>
      <c r="Q539" s="369">
        <f t="shared" si="226"/>
        <v>-26.747038966091615</v>
      </c>
      <c r="R539" s="370">
        <f t="shared" si="227"/>
        <v>-268.50833681109322</v>
      </c>
      <c r="S539" s="372">
        <f t="shared" si="228"/>
        <v>-88.508336811093216</v>
      </c>
      <c r="U539" s="345">
        <f t="shared" si="234"/>
        <v>80358</v>
      </c>
      <c r="V539" s="345">
        <f t="shared" si="235"/>
        <v>6457408164</v>
      </c>
      <c r="X539" s="371">
        <f t="shared" si="229"/>
        <v>7.3892633964645551</v>
      </c>
      <c r="Y539" s="372">
        <f t="shared" si="230"/>
        <v>-73.223321472093318</v>
      </c>
      <c r="AA539" s="371">
        <f t="shared" si="231"/>
        <v>23.36492290527783</v>
      </c>
      <c r="AB539" s="372">
        <f t="shared" si="232"/>
        <v>-195.2850153389999</v>
      </c>
      <c r="AD539">
        <f t="shared" si="236"/>
        <v>0</v>
      </c>
      <c r="AE539">
        <f t="shared" si="239"/>
        <v>0</v>
      </c>
    </row>
    <row r="540" spans="1:31" x14ac:dyDescent="0.2">
      <c r="A540" s="373">
        <v>80820.5</v>
      </c>
      <c r="B540" s="390">
        <f t="shared" si="233"/>
        <v>80.820499999999996</v>
      </c>
      <c r="C540" s="363">
        <f t="shared" si="214"/>
        <v>114.06068842373585</v>
      </c>
      <c r="D540" s="364">
        <f t="shared" si="215"/>
        <v>1.5620289519431556</v>
      </c>
      <c r="E540" s="364">
        <f t="shared" si="216"/>
        <v>1.1710399199143651</v>
      </c>
      <c r="F540" s="365">
        <f t="shared" si="217"/>
        <v>0.5472823486968611</v>
      </c>
      <c r="G540" s="364">
        <f t="shared" si="218"/>
        <v>2.6042979637482664</v>
      </c>
      <c r="H540" s="365">
        <f t="shared" si="219"/>
        <v>-1.1766927481977389</v>
      </c>
      <c r="I540" s="363">
        <f t="shared" si="220"/>
        <v>335258.44756196631</v>
      </c>
      <c r="J540" s="366">
        <f t="shared" si="221"/>
        <v>1.5707933440214354</v>
      </c>
      <c r="K540" s="374">
        <f t="shared" si="237"/>
        <v>103.73520504224797</v>
      </c>
      <c r="L540" s="375">
        <f t="shared" si="238"/>
        <v>1.5611562485950357</v>
      </c>
      <c r="M540" s="363">
        <f t="shared" si="222"/>
        <v>3.3743457977571323</v>
      </c>
      <c r="N540" s="366">
        <f t="shared" si="223"/>
        <v>1.2699237056894042</v>
      </c>
      <c r="O540" s="367">
        <f t="shared" si="224"/>
        <v>1.697975635263917</v>
      </c>
      <c r="P540" s="368">
        <f t="shared" si="225"/>
        <v>1.2209700661044554</v>
      </c>
      <c r="Q540" s="369">
        <f t="shared" si="226"/>
        <v>-26.821918203701177</v>
      </c>
      <c r="R540" s="370">
        <f t="shared" si="227"/>
        <v>-268.83009143772108</v>
      </c>
      <c r="S540" s="372">
        <f t="shared" si="228"/>
        <v>-88.83009143772108</v>
      </c>
      <c r="U540" s="345">
        <f t="shared" si="234"/>
        <v>80820.5</v>
      </c>
      <c r="V540" s="345">
        <f t="shared" si="235"/>
        <v>6531953220.25</v>
      </c>
      <c r="X540" s="371">
        <f t="shared" si="229"/>
        <v>7.3438114062314055</v>
      </c>
      <c r="Y540" s="372">
        <f t="shared" si="230"/>
        <v>-73.31343361808689</v>
      </c>
      <c r="AA540" s="371">
        <f t="shared" si="231"/>
        <v>23.335495657901419</v>
      </c>
      <c r="AB540" s="372">
        <f t="shared" si="232"/>
        <v>-195.51665781963422</v>
      </c>
      <c r="AD540">
        <f t="shared" si="236"/>
        <v>0</v>
      </c>
      <c r="AE540">
        <f t="shared" si="239"/>
        <v>0</v>
      </c>
    </row>
    <row r="541" spans="1:31" x14ac:dyDescent="0.2">
      <c r="A541" s="373">
        <v>81283</v>
      </c>
      <c r="B541" s="390">
        <f t="shared" si="233"/>
        <v>81.283000000000001</v>
      </c>
      <c r="C541" s="363">
        <f t="shared" si="214"/>
        <v>114.71335730195662</v>
      </c>
      <c r="D541" s="364">
        <f t="shared" si="215"/>
        <v>1.5620788357423505</v>
      </c>
      <c r="E541" s="364">
        <f t="shared" si="216"/>
        <v>1.1728583123047198</v>
      </c>
      <c r="F541" s="365">
        <f t="shared" si="217"/>
        <v>0.54982130991574074</v>
      </c>
      <c r="G541" s="364">
        <f t="shared" si="218"/>
        <v>2.6170091926496859</v>
      </c>
      <c r="H541" s="365">
        <f t="shared" si="219"/>
        <v>-1.1787117998950389</v>
      </c>
      <c r="I541" s="363">
        <f t="shared" si="220"/>
        <v>337176.98347792862</v>
      </c>
      <c r="J541" s="366">
        <f t="shared" si="221"/>
        <v>1.5707933609934066</v>
      </c>
      <c r="K541" s="374">
        <f t="shared" si="237"/>
        <v>104.32878076311195</v>
      </c>
      <c r="L541" s="375">
        <f t="shared" si="238"/>
        <v>1.5612110972386757</v>
      </c>
      <c r="M541" s="363">
        <f t="shared" si="222"/>
        <v>3.3919641891612486</v>
      </c>
      <c r="N541" s="366">
        <f t="shared" si="223"/>
        <v>1.2715350119250086</v>
      </c>
      <c r="O541" s="367">
        <f t="shared" si="224"/>
        <v>1.7049235702947947</v>
      </c>
      <c r="P541" s="368">
        <f t="shared" si="225"/>
        <v>1.2254489961898842</v>
      </c>
      <c r="Q541" s="369">
        <f t="shared" si="226"/>
        <v>-26.89641694284947</v>
      </c>
      <c r="R541" s="370">
        <f t="shared" si="227"/>
        <v>-269.14896416199247</v>
      </c>
      <c r="S541" s="372">
        <f t="shared" si="228"/>
        <v>-89.148964161992467</v>
      </c>
      <c r="U541" s="345">
        <f t="shared" si="234"/>
        <v>81283</v>
      </c>
      <c r="V541" s="345">
        <f t="shared" si="235"/>
        <v>6606926089</v>
      </c>
      <c r="X541" s="371">
        <f t="shared" si="229"/>
        <v>7.2985733833468416</v>
      </c>
      <c r="Y541" s="372">
        <f t="shared" si="230"/>
        <v>-73.402613041621777</v>
      </c>
      <c r="AA541" s="371">
        <f t="shared" si="231"/>
        <v>23.30623494163769</v>
      </c>
      <c r="AB541" s="372">
        <f t="shared" si="232"/>
        <v>-195.74635112037072</v>
      </c>
      <c r="AD541">
        <f t="shared" si="236"/>
        <v>0</v>
      </c>
      <c r="AE541">
        <f t="shared" si="239"/>
        <v>0</v>
      </c>
    </row>
    <row r="542" spans="1:31" x14ac:dyDescent="0.2">
      <c r="A542" s="373">
        <v>81756.25</v>
      </c>
      <c r="B542" s="390">
        <f t="shared" si="233"/>
        <v>81.756249999999994</v>
      </c>
      <c r="C542" s="363">
        <f t="shared" si="214"/>
        <v>115.3811966137708</v>
      </c>
      <c r="D542" s="364">
        <f t="shared" si="215"/>
        <v>1.5621292948258052</v>
      </c>
      <c r="E542" s="364">
        <f t="shared" si="216"/>
        <v>1.1747267717581176</v>
      </c>
      <c r="F542" s="365">
        <f t="shared" si="217"/>
        <v>0.55241113125835672</v>
      </c>
      <c r="G542" s="364">
        <f t="shared" si="218"/>
        <v>2.6300268069775754</v>
      </c>
      <c r="H542" s="365">
        <f t="shared" si="219"/>
        <v>-1.1807575700038622</v>
      </c>
      <c r="I542" s="363">
        <f t="shared" si="220"/>
        <v>339140.11239085667</v>
      </c>
      <c r="J542" s="366">
        <f t="shared" si="221"/>
        <v>1.5707933781610917</v>
      </c>
      <c r="K542" s="374">
        <f t="shared" si="237"/>
        <v>104.93615343000849</v>
      </c>
      <c r="L542" s="375">
        <f t="shared" si="238"/>
        <v>1.5612665784337212</v>
      </c>
      <c r="M542" s="363">
        <f t="shared" si="222"/>
        <v>3.410001109816704</v>
      </c>
      <c r="N542" s="366">
        <f t="shared" si="223"/>
        <v>1.2731665305806661</v>
      </c>
      <c r="O542" s="367">
        <f t="shared" si="224"/>
        <v>1.7120586376929756</v>
      </c>
      <c r="P542" s="368">
        <f t="shared" si="225"/>
        <v>1.2300099096907411</v>
      </c>
      <c r="Q542" s="369">
        <f t="shared" si="226"/>
        <v>-26.972257292797938</v>
      </c>
      <c r="R542" s="370">
        <f t="shared" si="227"/>
        <v>-269.47230578815362</v>
      </c>
      <c r="S542" s="372">
        <f t="shared" si="228"/>
        <v>-89.472305788153619</v>
      </c>
      <c r="U542" s="345">
        <f t="shared" si="234"/>
        <v>81756.25</v>
      </c>
      <c r="V542" s="345">
        <f t="shared" si="235"/>
        <v>6684084414.0625</v>
      </c>
      <c r="X542" s="371">
        <f t="shared" si="229"/>
        <v>7.2525035411099346</v>
      </c>
      <c r="Y542" s="372">
        <f t="shared" si="230"/>
        <v>-73.492914320208428</v>
      </c>
      <c r="AA542" s="371">
        <f t="shared" si="231"/>
        <v>23.276464433926126</v>
      </c>
      <c r="AB542" s="372">
        <f t="shared" si="232"/>
        <v>-195.97939146794516</v>
      </c>
      <c r="AD542">
        <f t="shared" si="236"/>
        <v>0</v>
      </c>
      <c r="AE542">
        <f t="shared" si="239"/>
        <v>0</v>
      </c>
    </row>
    <row r="543" spans="1:31" x14ac:dyDescent="0.2">
      <c r="A543" s="373">
        <v>82229.5</v>
      </c>
      <c r="B543" s="390">
        <f t="shared" si="233"/>
        <v>82.229500000000002</v>
      </c>
      <c r="C543" s="363">
        <f t="shared" si="214"/>
        <v>116.04903621597801</v>
      </c>
      <c r="D543" s="364">
        <f t="shared" si="215"/>
        <v>1.5621791731449894</v>
      </c>
      <c r="E543" s="364">
        <f t="shared" si="216"/>
        <v>1.1766030852540963</v>
      </c>
      <c r="F543" s="365">
        <f t="shared" si="217"/>
        <v>0.55499270996196537</v>
      </c>
      <c r="G543" s="364">
        <f t="shared" si="218"/>
        <v>2.6430553199771909</v>
      </c>
      <c r="H543" s="365">
        <f t="shared" si="219"/>
        <v>-1.1827831799360995</v>
      </c>
      <c r="I543" s="363">
        <f t="shared" si="220"/>
        <v>341103.24130378483</v>
      </c>
      <c r="J543" s="366">
        <f t="shared" si="221"/>
        <v>1.5707933951311688</v>
      </c>
      <c r="K543" s="374">
        <f t="shared" si="237"/>
        <v>105.54352641619795</v>
      </c>
      <c r="L543" s="375">
        <f t="shared" si="238"/>
        <v>1.561321421071928</v>
      </c>
      <c r="M543" s="363">
        <f t="shared" si="222"/>
        <v>3.4280470118624753</v>
      </c>
      <c r="N543" s="366">
        <f t="shared" si="223"/>
        <v>1.2747808762367716</v>
      </c>
      <c r="O543" s="367">
        <f t="shared" si="224"/>
        <v>1.7192195641734307</v>
      </c>
      <c r="P543" s="368">
        <f t="shared" si="225"/>
        <v>1.234548613124858</v>
      </c>
      <c r="Q543" s="369">
        <f t="shared" si="226"/>
        <v>-27.047707082356844</v>
      </c>
      <c r="R543" s="370">
        <f t="shared" si="227"/>
        <v>-269.79271140617129</v>
      </c>
      <c r="S543" s="372">
        <f t="shared" si="228"/>
        <v>-89.792711406171293</v>
      </c>
      <c r="U543" s="345">
        <f t="shared" si="234"/>
        <v>82229.5</v>
      </c>
      <c r="V543" s="345">
        <f t="shared" si="235"/>
        <v>6761690670.25</v>
      </c>
      <c r="X543" s="371">
        <f t="shared" si="229"/>
        <v>7.2066540380452064</v>
      </c>
      <c r="Y543" s="372">
        <f t="shared" si="230"/>
        <v>-73.582268233687856</v>
      </c>
      <c r="AA543" s="371">
        <f t="shared" si="231"/>
        <v>23.24686414743195</v>
      </c>
      <c r="AB543" s="372">
        <f t="shared" si="232"/>
        <v>-196.21044317248342</v>
      </c>
      <c r="AD543">
        <f t="shared" si="236"/>
        <v>0</v>
      </c>
      <c r="AE543">
        <f t="shared" si="239"/>
        <v>0</v>
      </c>
    </row>
    <row r="544" spans="1:31" x14ac:dyDescent="0.2">
      <c r="A544" s="373">
        <v>82702.75</v>
      </c>
      <c r="B544" s="390">
        <f t="shared" si="233"/>
        <v>82.702749999999995</v>
      </c>
      <c r="C544" s="363">
        <f t="shared" si="214"/>
        <v>116.71687610359346</v>
      </c>
      <c r="D544" s="364">
        <f t="shared" si="215"/>
        <v>1.5622284806688425</v>
      </c>
      <c r="E544" s="364">
        <f t="shared" si="216"/>
        <v>1.1784872152785135</v>
      </c>
      <c r="F544" s="365">
        <f t="shared" si="217"/>
        <v>0.55756605106889434</v>
      </c>
      <c r="G544" s="364">
        <f t="shared" si="218"/>
        <v>2.6560945712700392</v>
      </c>
      <c r="H544" s="365">
        <f t="shared" si="219"/>
        <v>-1.1847889098557829</v>
      </c>
      <c r="I544" s="363">
        <f t="shared" si="220"/>
        <v>343066.37021671305</v>
      </c>
      <c r="J544" s="366">
        <f t="shared" si="221"/>
        <v>1.5707934119070299</v>
      </c>
      <c r="K544" s="374">
        <f t="shared" si="237"/>
        <v>106.15089971619955</v>
      </c>
      <c r="L544" s="375">
        <f t="shared" si="238"/>
        <v>1.5613756361140303</v>
      </c>
      <c r="M544" s="363">
        <f t="shared" si="222"/>
        <v>3.4461017542023638</v>
      </c>
      <c r="N544" s="366">
        <f t="shared" si="223"/>
        <v>1.2763783103294826</v>
      </c>
      <c r="O544" s="367">
        <f t="shared" si="224"/>
        <v>1.7264062753815084</v>
      </c>
      <c r="P544" s="368">
        <f t="shared" si="225"/>
        <v>1.2390652721243216</v>
      </c>
      <c r="Q544" s="369">
        <f t="shared" si="226"/>
        <v>-27.122770183799791</v>
      </c>
      <c r="R544" s="370">
        <f t="shared" si="227"/>
        <v>-270.11022119193461</v>
      </c>
      <c r="S544" s="372">
        <f t="shared" si="228"/>
        <v>-90.110221191934613</v>
      </c>
      <c r="U544" s="345">
        <f t="shared" si="234"/>
        <v>82702.75</v>
      </c>
      <c r="V544" s="345">
        <f t="shared" si="235"/>
        <v>6839744857.5625</v>
      </c>
      <c r="X544" s="371">
        <f t="shared" si="229"/>
        <v>7.1610230348684123</v>
      </c>
      <c r="Y544" s="372">
        <f t="shared" si="230"/>
        <v>-73.670689133438998</v>
      </c>
      <c r="AA544" s="371">
        <f t="shared" si="231"/>
        <v>23.217432049165797</v>
      </c>
      <c r="AB544" s="372">
        <f t="shared" si="232"/>
        <v>-196.43953205849567</v>
      </c>
      <c r="AD544">
        <f t="shared" si="236"/>
        <v>0</v>
      </c>
      <c r="AE544">
        <f t="shared" si="239"/>
        <v>0</v>
      </c>
    </row>
    <row r="545" spans="1:31" x14ac:dyDescent="0.2">
      <c r="A545" s="373">
        <v>83176</v>
      </c>
      <c r="B545" s="390">
        <f t="shared" si="233"/>
        <v>83.176000000000002</v>
      </c>
      <c r="C545" s="363">
        <f t="shared" si="214"/>
        <v>117.38471627174584</v>
      </c>
      <c r="D545" s="364">
        <f t="shared" si="215"/>
        <v>1.5622772271394478</v>
      </c>
      <c r="E545" s="364">
        <f t="shared" si="216"/>
        <v>1.1803791244009654</v>
      </c>
      <c r="F545" s="365">
        <f t="shared" si="217"/>
        <v>0.56013116002574248</v>
      </c>
      <c r="G545" s="364">
        <f t="shared" si="218"/>
        <v>2.669144403480634</v>
      </c>
      <c r="H545" s="365">
        <f t="shared" si="219"/>
        <v>-1.1867750350944919</v>
      </c>
      <c r="I545" s="363">
        <f t="shared" si="220"/>
        <v>345029.49912964139</v>
      </c>
      <c r="J545" s="366">
        <f t="shared" si="221"/>
        <v>1.5707934284919907</v>
      </c>
      <c r="K545" s="374">
        <f t="shared" si="237"/>
        <v>106.75827332465722</v>
      </c>
      <c r="L545" s="375">
        <f t="shared" si="238"/>
        <v>1.5614292342713443</v>
      </c>
      <c r="M545" s="363">
        <f t="shared" si="222"/>
        <v>3.4641651986132587</v>
      </c>
      <c r="N545" s="366">
        <f t="shared" si="223"/>
        <v>1.277959089191312</v>
      </c>
      <c r="O545" s="367">
        <f t="shared" si="224"/>
        <v>1.7336186984649402</v>
      </c>
      <c r="P545" s="368">
        <f t="shared" si="225"/>
        <v>1.2435600511632019</v>
      </c>
      <c r="Q545" s="369">
        <f t="shared" si="226"/>
        <v>-27.197450411633291</v>
      </c>
      <c r="R545" s="370">
        <f t="shared" si="227"/>
        <v>-270.42487466381243</v>
      </c>
      <c r="S545" s="372">
        <f t="shared" si="228"/>
        <v>-90.424874663812432</v>
      </c>
      <c r="U545" s="345">
        <f t="shared" si="234"/>
        <v>83176</v>
      </c>
      <c r="V545" s="345">
        <f t="shared" si="235"/>
        <v>6918246976</v>
      </c>
      <c r="X545" s="371">
        <f t="shared" si="229"/>
        <v>7.1156087103966792</v>
      </c>
      <c r="Y545" s="372">
        <f t="shared" si="230"/>
        <v>-73.758191092709765</v>
      </c>
      <c r="AA545" s="371">
        <f t="shared" si="231"/>
        <v>23.188166145804033</v>
      </c>
      <c r="AB545" s="372">
        <f t="shared" si="232"/>
        <v>-196.66668357110262</v>
      </c>
      <c r="AD545">
        <f t="shared" si="236"/>
        <v>0</v>
      </c>
      <c r="AE545">
        <f t="shared" si="239"/>
        <v>0</v>
      </c>
    </row>
    <row r="546" spans="1:31" x14ac:dyDescent="0.2">
      <c r="A546" s="373">
        <v>83660.5</v>
      </c>
      <c r="B546" s="390">
        <f t="shared" si="233"/>
        <v>83.660499999999999</v>
      </c>
      <c r="C546" s="363">
        <f t="shared" si="214"/>
        <v>118.06843248231773</v>
      </c>
      <c r="D546" s="364">
        <f t="shared" si="215"/>
        <v>1.5623265611240014</v>
      </c>
      <c r="E546" s="364">
        <f t="shared" si="216"/>
        <v>1.1823240272788926</v>
      </c>
      <c r="F546" s="365">
        <f t="shared" si="217"/>
        <v>0.56274872430625478</v>
      </c>
      <c r="G546" s="364">
        <f t="shared" si="218"/>
        <v>2.6825152535313861</v>
      </c>
      <c r="H546" s="365">
        <f t="shared" si="219"/>
        <v>-1.1887883473207821</v>
      </c>
      <c r="I546" s="363">
        <f t="shared" si="220"/>
        <v>347039.29513241752</v>
      </c>
      <c r="J546" s="366">
        <f t="shared" si="221"/>
        <v>1.5707934452768264</v>
      </c>
      <c r="K546" s="374">
        <f t="shared" si="237"/>
        <v>107.38008560555443</v>
      </c>
      <c r="L546" s="375">
        <f t="shared" si="238"/>
        <v>1.5614834784267446</v>
      </c>
      <c r="M546" s="363">
        <f t="shared" si="222"/>
        <v>3.4826669168887756</v>
      </c>
      <c r="N546" s="366">
        <f t="shared" si="223"/>
        <v>1.2795604545882664</v>
      </c>
      <c r="O546" s="367">
        <f t="shared" si="224"/>
        <v>1.7410291352153917</v>
      </c>
      <c r="P546" s="368">
        <f t="shared" si="225"/>
        <v>1.2481391833291695</v>
      </c>
      <c r="Q546" s="369">
        <f t="shared" si="226"/>
        <v>-27.27351321165353</v>
      </c>
      <c r="R546" s="370">
        <f t="shared" si="227"/>
        <v>-270.74408962698845</v>
      </c>
      <c r="S546" s="372">
        <f t="shared" si="228"/>
        <v>-90.744089626988455</v>
      </c>
      <c r="U546" s="345">
        <f t="shared" si="234"/>
        <v>83660.5</v>
      </c>
      <c r="V546" s="345">
        <f t="shared" si="235"/>
        <v>6999079260.25</v>
      </c>
      <c r="X546" s="371">
        <f t="shared" si="229"/>
        <v>7.0693373896136649</v>
      </c>
      <c r="Y546" s="372">
        <f t="shared" si="230"/>
        <v>-73.846835572047397</v>
      </c>
      <c r="AA546" s="371">
        <f t="shared" si="231"/>
        <v>23.158374666566807</v>
      </c>
      <c r="AB546" s="372">
        <f t="shared" si="232"/>
        <v>-196.8972540549411</v>
      </c>
      <c r="AD546">
        <f t="shared" si="236"/>
        <v>0</v>
      </c>
      <c r="AE546">
        <f t="shared" si="239"/>
        <v>0</v>
      </c>
    </row>
    <row r="547" spans="1:31" x14ac:dyDescent="0.2">
      <c r="A547" s="373">
        <v>84145</v>
      </c>
      <c r="B547" s="390">
        <f t="shared" si="233"/>
        <v>84.144999999999996</v>
      </c>
      <c r="C547" s="363">
        <f t="shared" si="214"/>
        <v>118.75214897694059</v>
      </c>
      <c r="D547" s="364">
        <f t="shared" si="215"/>
        <v>1.562375327027012</v>
      </c>
      <c r="E547" s="364">
        <f t="shared" si="216"/>
        <v>1.1842770043787594</v>
      </c>
      <c r="F547" s="365">
        <f t="shared" si="217"/>
        <v>0.56535767322520103</v>
      </c>
      <c r="G547" s="364">
        <f t="shared" si="218"/>
        <v>2.6958968690765102</v>
      </c>
      <c r="H547" s="365">
        <f t="shared" si="219"/>
        <v>-1.1907816806159863</v>
      </c>
      <c r="I547" s="363">
        <f t="shared" si="220"/>
        <v>349049.09113519377</v>
      </c>
      <c r="J547" s="366">
        <f t="shared" si="221"/>
        <v>1.5707934618683708</v>
      </c>
      <c r="K547" s="374">
        <f t="shared" si="237"/>
        <v>108.00189819877166</v>
      </c>
      <c r="L547" s="375">
        <f t="shared" si="238"/>
        <v>1.5615370979692249</v>
      </c>
      <c r="M547" s="363">
        <f t="shared" si="222"/>
        <v>3.5011774716126651</v>
      </c>
      <c r="N547" s="366">
        <f t="shared" si="223"/>
        <v>1.2811448913309076</v>
      </c>
      <c r="O547" s="367">
        <f t="shared" si="224"/>
        <v>1.7484663710134174</v>
      </c>
      <c r="P547" s="368">
        <f t="shared" si="225"/>
        <v>1.2526957280413458</v>
      </c>
      <c r="Q547" s="369">
        <f t="shared" si="226"/>
        <v>-27.349182629668086</v>
      </c>
      <c r="R547" s="370">
        <f t="shared" si="227"/>
        <v>-271.06039262730496</v>
      </c>
      <c r="S547" s="372">
        <f t="shared" si="228"/>
        <v>-91.060392627304964</v>
      </c>
      <c r="U547" s="345">
        <f t="shared" si="234"/>
        <v>84145</v>
      </c>
      <c r="V547" s="345">
        <f t="shared" si="235"/>
        <v>7080381025</v>
      </c>
      <c r="X547" s="371">
        <f t="shared" si="229"/>
        <v>7.0232893663794407</v>
      </c>
      <c r="Y547" s="372">
        <f t="shared" si="230"/>
        <v>-73.934545887548339</v>
      </c>
      <c r="AA547" s="371">
        <f t="shared" si="231"/>
        <v>23.128753271786472</v>
      </c>
      <c r="AB547" s="372">
        <f t="shared" si="232"/>
        <v>-197.12584673975655</v>
      </c>
      <c r="AD547">
        <f t="shared" si="236"/>
        <v>0</v>
      </c>
      <c r="AE547">
        <f t="shared" si="239"/>
        <v>0</v>
      </c>
    </row>
    <row r="548" spans="1:31" x14ac:dyDescent="0.2">
      <c r="A548" s="373">
        <v>84629.5</v>
      </c>
      <c r="B548" s="390">
        <f t="shared" si="233"/>
        <v>84.629499999999993</v>
      </c>
      <c r="C548" s="363">
        <f t="shared" si="214"/>
        <v>119.43586575073621</v>
      </c>
      <c r="D548" s="364">
        <f t="shared" si="215"/>
        <v>1.5624235346042818</v>
      </c>
      <c r="E548" s="364">
        <f t="shared" si="216"/>
        <v>1.186238015821292</v>
      </c>
      <c r="F548" s="365">
        <f t="shared" si="217"/>
        <v>0.56795801390609202</v>
      </c>
      <c r="G548" s="364">
        <f t="shared" si="218"/>
        <v>2.7092890905984746</v>
      </c>
      <c r="H548" s="365">
        <f t="shared" si="219"/>
        <v>-1.1927553152933161</v>
      </c>
      <c r="I548" s="363">
        <f t="shared" si="220"/>
        <v>351058.88713797019</v>
      </c>
      <c r="J548" s="366">
        <f t="shared" si="221"/>
        <v>1.5707934782699435</v>
      </c>
      <c r="K548" s="374">
        <f t="shared" si="237"/>
        <v>108.62371109894526</v>
      </c>
      <c r="L548" s="375">
        <f t="shared" si="238"/>
        <v>1.5615901036252033</v>
      </c>
      <c r="M548" s="363">
        <f t="shared" si="222"/>
        <v>3.5196967233687468</v>
      </c>
      <c r="N548" s="366">
        <f t="shared" si="223"/>
        <v>1.2827126586162356</v>
      </c>
      <c r="O548" s="367">
        <f t="shared" si="224"/>
        <v>1.7559303324480497</v>
      </c>
      <c r="P548" s="368">
        <f t="shared" si="225"/>
        <v>1.2572298579685834</v>
      </c>
      <c r="Q548" s="369">
        <f t="shared" si="226"/>
        <v>-27.424462578952348</v>
      </c>
      <c r="R548" s="370">
        <f t="shared" si="227"/>
        <v>-271.37382400604719</v>
      </c>
      <c r="S548" s="372">
        <f t="shared" si="228"/>
        <v>-91.373824006047187</v>
      </c>
      <c r="U548" s="345">
        <f t="shared" si="234"/>
        <v>84629.5</v>
      </c>
      <c r="V548" s="345">
        <f t="shared" si="235"/>
        <v>7162152270.25</v>
      </c>
      <c r="X548" s="371">
        <f t="shared" si="229"/>
        <v>6.9774627448013069</v>
      </c>
      <c r="Y548" s="372">
        <f t="shared" si="230"/>
        <v>-74.021336275718497</v>
      </c>
      <c r="AA548" s="371">
        <f t="shared" si="231"/>
        <v>23.09929994408035</v>
      </c>
      <c r="AB548" s="372">
        <f t="shared" si="232"/>
        <v>-197.35248773032876</v>
      </c>
      <c r="AD548">
        <f t="shared" si="236"/>
        <v>0</v>
      </c>
      <c r="AE548">
        <f t="shared" si="239"/>
        <v>0</v>
      </c>
    </row>
    <row r="549" spans="1:31" x14ac:dyDescent="0.2">
      <c r="A549" s="373">
        <v>85114</v>
      </c>
      <c r="B549" s="390">
        <f t="shared" si="233"/>
        <v>85.114000000000004</v>
      </c>
      <c r="C549" s="363">
        <f t="shared" si="214"/>
        <v>120.11958279893746</v>
      </c>
      <c r="D549" s="364">
        <f t="shared" si="215"/>
        <v>1.5624711933895052</v>
      </c>
      <c r="E549" s="364">
        <f t="shared" si="216"/>
        <v>1.1882070218269636</v>
      </c>
      <c r="F549" s="365">
        <f t="shared" si="217"/>
        <v>0.57054975389116225</v>
      </c>
      <c r="G549" s="364">
        <f t="shared" si="218"/>
        <v>2.7226917615930559</v>
      </c>
      <c r="H549" s="365">
        <f t="shared" si="219"/>
        <v>-1.1947095267669452</v>
      </c>
      <c r="I549" s="363">
        <f t="shared" si="220"/>
        <v>353068.68314074661</v>
      </c>
      <c r="J549" s="366">
        <f t="shared" si="221"/>
        <v>1.5707934944847888</v>
      </c>
      <c r="K549" s="374">
        <f t="shared" si="237"/>
        <v>109.24552430083382</v>
      </c>
      <c r="L549" s="375">
        <f t="shared" si="238"/>
        <v>1.5616425058768975</v>
      </c>
      <c r="M549" s="363">
        <f t="shared" si="222"/>
        <v>3.5382245355948627</v>
      </c>
      <c r="N549" s="366">
        <f t="shared" si="223"/>
        <v>1.2842640105437522</v>
      </c>
      <c r="O549" s="367">
        <f t="shared" si="224"/>
        <v>1.763420947669752</v>
      </c>
      <c r="P549" s="368">
        <f t="shared" si="225"/>
        <v>1.2617417444807384</v>
      </c>
      <c r="Q549" s="369">
        <f t="shared" si="226"/>
        <v>-27.499356914844952</v>
      </c>
      <c r="R549" s="370">
        <f t="shared" si="227"/>
        <v>-271.68442343458514</v>
      </c>
      <c r="S549" s="372">
        <f t="shared" si="228"/>
        <v>-91.684423434585142</v>
      </c>
      <c r="U549" s="345">
        <f t="shared" si="234"/>
        <v>85114</v>
      </c>
      <c r="V549" s="345">
        <f t="shared" si="235"/>
        <v>7244392996</v>
      </c>
      <c r="X549" s="371">
        <f t="shared" si="229"/>
        <v>6.9318556483920517</v>
      </c>
      <c r="Y549" s="372">
        <f t="shared" si="230"/>
        <v>-74.107220694985983</v>
      </c>
      <c r="AA549" s="371">
        <f t="shared" si="231"/>
        <v>23.070012704596998</v>
      </c>
      <c r="AB549" s="372">
        <f t="shared" si="232"/>
        <v>-197.57720273959922</v>
      </c>
      <c r="AD549">
        <f t="shared" si="236"/>
        <v>0</v>
      </c>
      <c r="AE549">
        <f t="shared" si="239"/>
        <v>0</v>
      </c>
    </row>
    <row r="550" spans="1:31" x14ac:dyDescent="0.2">
      <c r="A550" s="373">
        <v>85609.5</v>
      </c>
      <c r="B550" s="390">
        <f t="shared" si="233"/>
        <v>85.609499999999997</v>
      </c>
      <c r="C550" s="363">
        <f t="shared" si="214"/>
        <v>120.81882311378369</v>
      </c>
      <c r="D550" s="364">
        <f t="shared" si="215"/>
        <v>1.5625193762974199</v>
      </c>
      <c r="E550" s="364">
        <f t="shared" si="216"/>
        <v>1.1902289593222286</v>
      </c>
      <c r="F550" s="365">
        <f t="shared" si="217"/>
        <v>0.5731914487468911</v>
      </c>
      <c r="G550" s="364">
        <f t="shared" si="218"/>
        <v>2.7364093724130747</v>
      </c>
      <c r="H550" s="365">
        <f t="shared" si="219"/>
        <v>-1.1966882986112788</v>
      </c>
      <c r="I550" s="363">
        <f t="shared" si="220"/>
        <v>355124.10918692988</v>
      </c>
      <c r="J550" s="366">
        <f t="shared" si="221"/>
        <v>1.5707935108779421</v>
      </c>
      <c r="K550" s="374">
        <f t="shared" si="237"/>
        <v>109.88145534344758</v>
      </c>
      <c r="L550" s="375">
        <f t="shared" si="238"/>
        <v>1.5616954844259119</v>
      </c>
      <c r="M550" s="363">
        <f t="shared" si="222"/>
        <v>3.5571817147133311</v>
      </c>
      <c r="N550" s="366">
        <f t="shared" si="223"/>
        <v>1.285833865049762</v>
      </c>
      <c r="O550" s="367">
        <f t="shared" si="224"/>
        <v>1.7711091235655021</v>
      </c>
      <c r="P550" s="368">
        <f t="shared" si="225"/>
        <v>1.2663332386062196</v>
      </c>
      <c r="Q550" s="369">
        <f t="shared" si="226"/>
        <v>-27.575556751460688</v>
      </c>
      <c r="R550" s="370">
        <f t="shared" si="227"/>
        <v>-271.99918618620632</v>
      </c>
      <c r="S550" s="372">
        <f t="shared" si="228"/>
        <v>-91.999186186206316</v>
      </c>
      <c r="U550" s="345">
        <f t="shared" si="234"/>
        <v>85609.5</v>
      </c>
      <c r="V550" s="345">
        <f t="shared" si="235"/>
        <v>7328986490.25</v>
      </c>
      <c r="X550" s="371">
        <f t="shared" si="229"/>
        <v>6.8854382192185293</v>
      </c>
      <c r="Y550" s="372">
        <f t="shared" si="230"/>
        <v>-74.194132224724484</v>
      </c>
      <c r="AA550" s="371">
        <f t="shared" si="231"/>
        <v>23.040230297154778</v>
      </c>
      <c r="AB550" s="372">
        <f t="shared" si="232"/>
        <v>-197.80505396148186</v>
      </c>
      <c r="AD550">
        <f t="shared" si="236"/>
        <v>0</v>
      </c>
      <c r="AE550">
        <f t="shared" si="239"/>
        <v>0</v>
      </c>
    </row>
    <row r="551" spans="1:31" x14ac:dyDescent="0.2">
      <c r="A551" s="373">
        <v>86105</v>
      </c>
      <c r="B551" s="390">
        <f t="shared" si="233"/>
        <v>86.105000000000004</v>
      </c>
      <c r="C551" s="363">
        <f t="shared" si="214"/>
        <v>121.51806370589401</v>
      </c>
      <c r="D551" s="364">
        <f t="shared" si="215"/>
        <v>1.5625670046961961</v>
      </c>
      <c r="E551" s="364">
        <f t="shared" si="216"/>
        <v>1.1922591746857514</v>
      </c>
      <c r="F551" s="365">
        <f t="shared" si="217"/>
        <v>0.57582416520567159</v>
      </c>
      <c r="G551" s="364">
        <f t="shared" si="218"/>
        <v>2.750137590836264</v>
      </c>
      <c r="H551" s="365">
        <f t="shared" si="219"/>
        <v>-1.1986473226785714</v>
      </c>
      <c r="I551" s="363">
        <f t="shared" si="220"/>
        <v>357179.53523311322</v>
      </c>
      <c r="J551" s="366">
        <f t="shared" si="221"/>
        <v>1.5707935270824234</v>
      </c>
      <c r="K551" s="374">
        <f t="shared" si="237"/>
        <v>110.51738669091931</v>
      </c>
      <c r="L551" s="375">
        <f t="shared" si="238"/>
        <v>1.5617478532842155</v>
      </c>
      <c r="M551" s="363">
        <f t="shared" si="222"/>
        <v>3.5761475673492158</v>
      </c>
      <c r="N551" s="366">
        <f t="shared" si="223"/>
        <v>1.287387072119029</v>
      </c>
      <c r="O551" s="367">
        <f t="shared" si="224"/>
        <v>1.778825030172567</v>
      </c>
      <c r="P551" s="368">
        <f t="shared" si="225"/>
        <v>1.2709018262002219</v>
      </c>
      <c r="Q551" s="369">
        <f t="shared" si="226"/>
        <v>-27.65136124247741</v>
      </c>
      <c r="R551" s="370">
        <f t="shared" si="227"/>
        <v>-272.31106877321594</v>
      </c>
      <c r="S551" s="372">
        <f t="shared" si="228"/>
        <v>-92.311068773215936</v>
      </c>
      <c r="U551" s="345">
        <f t="shared" si="234"/>
        <v>86105</v>
      </c>
      <c r="V551" s="345">
        <f t="shared" si="235"/>
        <v>7414071025</v>
      </c>
      <c r="X551" s="371">
        <f t="shared" si="229"/>
        <v>6.8392464881499944</v>
      </c>
      <c r="Y551" s="372">
        <f t="shared" si="230"/>
        <v>-74.280124848491297</v>
      </c>
      <c r="AA551" s="371">
        <f t="shared" si="231"/>
        <v>23.010617537206596</v>
      </c>
      <c r="AB551" s="372">
        <f t="shared" si="232"/>
        <v>-198.03094392472468</v>
      </c>
      <c r="AD551">
        <f t="shared" si="236"/>
        <v>0</v>
      </c>
      <c r="AE551">
        <f t="shared" si="239"/>
        <v>0</v>
      </c>
    </row>
    <row r="552" spans="1:31" x14ac:dyDescent="0.2">
      <c r="A552" s="373">
        <v>86600.5</v>
      </c>
      <c r="B552" s="390">
        <f t="shared" si="233"/>
        <v>86.600499999999997</v>
      </c>
      <c r="C552" s="363">
        <f t="shared" si="214"/>
        <v>122.21730457050947</v>
      </c>
      <c r="D552" s="364">
        <f t="shared" si="215"/>
        <v>1.5626140881031416</v>
      </c>
      <c r="E552" s="364">
        <f t="shared" si="216"/>
        <v>1.1942976257022881</v>
      </c>
      <c r="F552" s="365">
        <f t="shared" si="217"/>
        <v>0.57844791265259476</v>
      </c>
      <c r="G552" s="364">
        <f t="shared" si="218"/>
        <v>2.7638762587982142</v>
      </c>
      <c r="H552" s="365">
        <f t="shared" si="219"/>
        <v>-1.2005868783057978</v>
      </c>
      <c r="I552" s="363">
        <f t="shared" si="220"/>
        <v>359234.96127929667</v>
      </c>
      <c r="J552" s="366">
        <f t="shared" si="221"/>
        <v>1.5707935431014708</v>
      </c>
      <c r="K552" s="374">
        <f t="shared" si="237"/>
        <v>111.15331833801655</v>
      </c>
      <c r="L552" s="375">
        <f t="shared" si="238"/>
        <v>1.5617996229160271</v>
      </c>
      <c r="M552" s="363">
        <f t="shared" si="222"/>
        <v>3.5951219562326386</v>
      </c>
      <c r="N552" s="366">
        <f t="shared" si="223"/>
        <v>1.2889238877838607</v>
      </c>
      <c r="O552" s="367">
        <f t="shared" si="224"/>
        <v>1.7865685955593797</v>
      </c>
      <c r="P552" s="368">
        <f t="shared" si="225"/>
        <v>1.2754476863275499</v>
      </c>
      <c r="Q552" s="369">
        <f t="shared" si="226"/>
        <v>-27.726774332089427</v>
      </c>
      <c r="R552" s="370">
        <f t="shared" si="227"/>
        <v>-272.62011153787734</v>
      </c>
      <c r="S552" s="372">
        <f t="shared" si="228"/>
        <v>-92.620111537877335</v>
      </c>
      <c r="U552" s="345">
        <f t="shared" si="234"/>
        <v>86600.5</v>
      </c>
      <c r="V552" s="345">
        <f t="shared" si="235"/>
        <v>7499646600.25</v>
      </c>
      <c r="X552" s="371">
        <f t="shared" si="229"/>
        <v>6.7932785100450381</v>
      </c>
      <c r="Y552" s="372">
        <f t="shared" si="230"/>
        <v>-74.36521263648703</v>
      </c>
      <c r="AA552" s="371">
        <f t="shared" si="231"/>
        <v>22.98117242569953</v>
      </c>
      <c r="AB552" s="372">
        <f t="shared" si="232"/>
        <v>-198.25489890139036</v>
      </c>
      <c r="AD552">
        <f t="shared" si="236"/>
        <v>0</v>
      </c>
      <c r="AE552">
        <f t="shared" si="239"/>
        <v>0</v>
      </c>
    </row>
    <row r="553" spans="1:31" x14ac:dyDescent="0.2">
      <c r="A553" s="373">
        <v>87096</v>
      </c>
      <c r="B553" s="390">
        <f t="shared" si="233"/>
        <v>87.096000000000004</v>
      </c>
      <c r="C553" s="363">
        <f t="shared" si="214"/>
        <v>122.91654570297942</v>
      </c>
      <c r="D553" s="364">
        <f t="shared" si="215"/>
        <v>1.562660635819008</v>
      </c>
      <c r="E553" s="364">
        <f t="shared" si="216"/>
        <v>1.1963442702736522</v>
      </c>
      <c r="F553" s="365">
        <f t="shared" si="217"/>
        <v>0.58106270090285961</v>
      </c>
      <c r="G553" s="364">
        <f t="shared" si="218"/>
        <v>2.7776252212426518</v>
      </c>
      <c r="H553" s="365">
        <f t="shared" si="219"/>
        <v>-1.2025072398914054</v>
      </c>
      <c r="I553" s="363">
        <f t="shared" si="220"/>
        <v>361290.38732548023</v>
      </c>
      <c r="J553" s="366">
        <f t="shared" si="221"/>
        <v>1.5707935589382498</v>
      </c>
      <c r="K553" s="374">
        <f t="shared" si="237"/>
        <v>111.7892502796259</v>
      </c>
      <c r="L553" s="375">
        <f t="shared" si="238"/>
        <v>1.5618508035474692</v>
      </c>
      <c r="M553" s="363">
        <f t="shared" si="222"/>
        <v>3.6141047469153023</v>
      </c>
      <c r="N553" s="366">
        <f t="shared" si="223"/>
        <v>1.290444563010759</v>
      </c>
      <c r="O553" s="367">
        <f t="shared" si="224"/>
        <v>1.79433974940606</v>
      </c>
      <c r="P553" s="368">
        <f t="shared" si="225"/>
        <v>1.279970996615335</v>
      </c>
      <c r="Q553" s="369">
        <f t="shared" si="226"/>
        <v>-27.801799906564813</v>
      </c>
      <c r="R553" s="370">
        <f t="shared" si="227"/>
        <v>-272.92635414346188</v>
      </c>
      <c r="S553" s="372">
        <f t="shared" si="228"/>
        <v>-92.926354143461879</v>
      </c>
      <c r="U553" s="345">
        <f t="shared" si="234"/>
        <v>87096</v>
      </c>
      <c r="V553" s="345">
        <f t="shared" si="235"/>
        <v>7585713216</v>
      </c>
      <c r="X553" s="371">
        <f t="shared" si="229"/>
        <v>6.7475323603684476</v>
      </c>
      <c r="Y553" s="372">
        <f t="shared" si="230"/>
        <v>-74.449409382300757</v>
      </c>
      <c r="AA553" s="371">
        <f t="shared" si="231"/>
        <v>22.951893000900743</v>
      </c>
      <c r="AB553" s="372">
        <f t="shared" si="232"/>
        <v>-198.47694476116115</v>
      </c>
      <c r="AD553">
        <f t="shared" si="236"/>
        <v>0</v>
      </c>
      <c r="AE553">
        <f t="shared" si="239"/>
        <v>0</v>
      </c>
    </row>
    <row r="554" spans="1:31" x14ac:dyDescent="0.2">
      <c r="A554" s="373">
        <v>87603.25</v>
      </c>
      <c r="B554" s="390">
        <f t="shared" si="233"/>
        <v>87.603250000000003</v>
      </c>
      <c r="C554" s="363">
        <f t="shared" si="214"/>
        <v>123.63236850736777</v>
      </c>
      <c r="D554" s="364">
        <f t="shared" si="215"/>
        <v>1.562707741933526</v>
      </c>
      <c r="E554" s="364">
        <f t="shared" si="216"/>
        <v>1.1984478912660861</v>
      </c>
      <c r="F554" s="365">
        <f t="shared" si="217"/>
        <v>0.58373022502351091</v>
      </c>
      <c r="G554" s="364">
        <f t="shared" si="218"/>
        <v>2.7917107233743095</v>
      </c>
      <c r="H554" s="365">
        <f t="shared" si="219"/>
        <v>-1.2044535390488951</v>
      </c>
      <c r="I554" s="363">
        <f t="shared" si="220"/>
        <v>363394.55455439369</v>
      </c>
      <c r="J554" s="366">
        <f t="shared" si="221"/>
        <v>1.5707935749649986</v>
      </c>
      <c r="K554" s="374">
        <f t="shared" si="237"/>
        <v>112.44026264281221</v>
      </c>
      <c r="L554" s="375">
        <f t="shared" si="238"/>
        <v>1.5619025981634851</v>
      </c>
      <c r="M554" s="363">
        <f t="shared" si="222"/>
        <v>3.633546250035339</v>
      </c>
      <c r="N554" s="366">
        <f t="shared" si="223"/>
        <v>1.2919848363813502</v>
      </c>
      <c r="O554" s="367">
        <f t="shared" si="224"/>
        <v>1.802323689686536</v>
      </c>
      <c r="P554" s="368">
        <f t="shared" si="225"/>
        <v>1.2845783957202228</v>
      </c>
      <c r="Q554" s="369">
        <f t="shared" si="226"/>
        <v>-27.878207183926705</v>
      </c>
      <c r="R554" s="370">
        <f t="shared" si="227"/>
        <v>-273.23699897093894</v>
      </c>
      <c r="S554" s="372">
        <f t="shared" si="228"/>
        <v>-93.236998970938942</v>
      </c>
      <c r="U554" s="345">
        <f t="shared" si="234"/>
        <v>87603.25</v>
      </c>
      <c r="V554" s="345">
        <f t="shared" si="235"/>
        <v>7674329410.5625</v>
      </c>
      <c r="X554" s="371">
        <f t="shared" si="229"/>
        <v>6.7009292064339352</v>
      </c>
      <c r="Y554" s="372">
        <f t="shared" si="230"/>
        <v>-74.534693851195314</v>
      </c>
      <c r="AA554" s="371">
        <f t="shared" si="231"/>
        <v>22.92208887747336</v>
      </c>
      <c r="AB554" s="372">
        <f t="shared" si="232"/>
        <v>-198.70230511974361</v>
      </c>
      <c r="AD554">
        <f t="shared" si="236"/>
        <v>0</v>
      </c>
      <c r="AE554">
        <f t="shared" si="239"/>
        <v>0</v>
      </c>
    </row>
    <row r="555" spans="1:31" x14ac:dyDescent="0.2">
      <c r="A555" s="373">
        <v>88110.5</v>
      </c>
      <c r="B555" s="390">
        <f t="shared" si="233"/>
        <v>88.110500000000002</v>
      </c>
      <c r="C555" s="363">
        <f t="shared" si="214"/>
        <v>124.34819158293608</v>
      </c>
      <c r="D555" s="364">
        <f t="shared" si="215"/>
        <v>1.5627543057058197</v>
      </c>
      <c r="E555" s="364">
        <f t="shared" si="216"/>
        <v>1.2005600101160585</v>
      </c>
      <c r="F555" s="365">
        <f t="shared" si="217"/>
        <v>0.58638838217028799</v>
      </c>
      <c r="G555" s="364">
        <f t="shared" si="218"/>
        <v>2.8058066945295255</v>
      </c>
      <c r="H555" s="365">
        <f t="shared" si="219"/>
        <v>-1.2063802895874296</v>
      </c>
      <c r="I555" s="363">
        <f t="shared" si="220"/>
        <v>365498.72178330726</v>
      </c>
      <c r="J555" s="366">
        <f t="shared" si="221"/>
        <v>1.5707935908072161</v>
      </c>
      <c r="K555" s="374">
        <f t="shared" si="237"/>
        <v>113.09127530416721</v>
      </c>
      <c r="L555" s="375">
        <f t="shared" si="238"/>
        <v>1.5619537964657175</v>
      </c>
      <c r="M555" s="363">
        <f t="shared" si="222"/>
        <v>3.6529962817649411</v>
      </c>
      <c r="N555" s="366">
        <f t="shared" si="223"/>
        <v>1.2935087112567147</v>
      </c>
      <c r="O555" s="367">
        <f t="shared" si="224"/>
        <v>1.8103363983094551</v>
      </c>
      <c r="P555" s="368">
        <f t="shared" si="225"/>
        <v>1.2891625349295517</v>
      </c>
      <c r="Q555" s="369">
        <f t="shared" si="226"/>
        <v>-27.954216411213267</v>
      </c>
      <c r="R555" s="370">
        <f t="shared" si="227"/>
        <v>-273.54479125647646</v>
      </c>
      <c r="S555" s="372">
        <f t="shared" si="228"/>
        <v>-93.544791256476458</v>
      </c>
      <c r="U555" s="345">
        <f t="shared" si="234"/>
        <v>88110.5</v>
      </c>
      <c r="V555" s="345">
        <f t="shared" si="235"/>
        <v>7763460210.25</v>
      </c>
      <c r="X555" s="371">
        <f t="shared" si="229"/>
        <v>6.6545545101086168</v>
      </c>
      <c r="Y555" s="372">
        <f t="shared" si="230"/>
        <v>-74.6190729112122</v>
      </c>
      <c r="AA555" s="371">
        <f t="shared" si="231"/>
        <v>22.892454346512118</v>
      </c>
      <c r="AB555" s="372">
        <f t="shared" si="232"/>
        <v>-198.92571834526422</v>
      </c>
      <c r="AD555">
        <f t="shared" si="236"/>
        <v>0</v>
      </c>
      <c r="AE555">
        <f t="shared" si="239"/>
        <v>0</v>
      </c>
    </row>
    <row r="556" spans="1:31" x14ac:dyDescent="0.2">
      <c r="A556" s="373">
        <v>88617.75</v>
      </c>
      <c r="B556" s="390">
        <f t="shared" si="233"/>
        <v>88.617750000000001</v>
      </c>
      <c r="C556" s="363">
        <f t="shared" si="214"/>
        <v>125.06401492502798</v>
      </c>
      <c r="D556" s="364">
        <f t="shared" si="215"/>
        <v>1.5628003364482257</v>
      </c>
      <c r="E556" s="364">
        <f t="shared" si="216"/>
        <v>1.2026805820523683</v>
      </c>
      <c r="F556" s="365">
        <f t="shared" si="217"/>
        <v>0.58903718422828133</v>
      </c>
      <c r="G556" s="364">
        <f t="shared" si="218"/>
        <v>2.8199129777129746</v>
      </c>
      <c r="H556" s="365">
        <f t="shared" si="219"/>
        <v>-1.2082877704621833</v>
      </c>
      <c r="I556" s="363">
        <f t="shared" si="220"/>
        <v>367602.8890122209</v>
      </c>
      <c r="J556" s="366">
        <f t="shared" si="221"/>
        <v>1.5707936064680714</v>
      </c>
      <c r="K556" s="374">
        <f t="shared" si="237"/>
        <v>113.74228825857111</v>
      </c>
      <c r="L556" s="375">
        <f t="shared" si="238"/>
        <v>1.5620044086930425</v>
      </c>
      <c r="M556" s="363">
        <f t="shared" si="222"/>
        <v>3.672454706596604</v>
      </c>
      <c r="N556" s="366">
        <f t="shared" si="223"/>
        <v>1.2950164411638501</v>
      </c>
      <c r="O556" s="367">
        <f t="shared" si="224"/>
        <v>1.8183778049256885</v>
      </c>
      <c r="P556" s="368">
        <f t="shared" si="225"/>
        <v>1.2937236001148962</v>
      </c>
      <c r="Q556" s="369">
        <f t="shared" si="226"/>
        <v>-28.029831577334285</v>
      </c>
      <c r="R556" s="370">
        <f t="shared" si="227"/>
        <v>-273.84977142484161</v>
      </c>
      <c r="S556" s="372">
        <f t="shared" si="228"/>
        <v>-93.849771424841606</v>
      </c>
      <c r="U556" s="345">
        <f t="shared" si="234"/>
        <v>88617.75</v>
      </c>
      <c r="V556" s="345">
        <f t="shared" si="235"/>
        <v>7853105615.0625</v>
      </c>
      <c r="X556" s="371">
        <f t="shared" si="229"/>
        <v>6.6084062726627959</v>
      </c>
      <c r="Y556" s="372">
        <f t="shared" si="230"/>
        <v>-74.702560501915528</v>
      </c>
      <c r="AA556" s="371">
        <f t="shared" si="231"/>
        <v>22.862987417836926</v>
      </c>
      <c r="AB556" s="372">
        <f t="shared" si="232"/>
        <v>-199.14721092292606</v>
      </c>
      <c r="AD556">
        <f t="shared" si="236"/>
        <v>0</v>
      </c>
      <c r="AE556">
        <f t="shared" si="239"/>
        <v>0</v>
      </c>
    </row>
    <row r="557" spans="1:31" x14ac:dyDescent="0.2">
      <c r="A557" s="373">
        <v>89125</v>
      </c>
      <c r="B557" s="390">
        <f t="shared" si="233"/>
        <v>89.125</v>
      </c>
      <c r="C557" s="363">
        <f t="shared" si="214"/>
        <v>125.779838529093</v>
      </c>
      <c r="D557" s="364">
        <f t="shared" si="215"/>
        <v>1.5628458432611005</v>
      </c>
      <c r="E557" s="364">
        <f t="shared" si="216"/>
        <v>1.2048095624404658</v>
      </c>
      <c r="F557" s="365">
        <f t="shared" si="217"/>
        <v>0.59167664352416582</v>
      </c>
      <c r="G557" s="364">
        <f t="shared" si="218"/>
        <v>2.8340294189413733</v>
      </c>
      <c r="H557" s="365">
        <f t="shared" si="219"/>
        <v>-1.2101762556373832</v>
      </c>
      <c r="I557" s="363">
        <f t="shared" si="220"/>
        <v>369707.05624113476</v>
      </c>
      <c r="J557" s="366">
        <f t="shared" si="221"/>
        <v>1.5707936219506609</v>
      </c>
      <c r="K557" s="374">
        <f t="shared" si="237"/>
        <v>114.39330150102072</v>
      </c>
      <c r="L557" s="375">
        <f t="shared" si="238"/>
        <v>1.5620544448512705</v>
      </c>
      <c r="M557" s="363">
        <f t="shared" si="222"/>
        <v>3.6919213918217526</v>
      </c>
      <c r="N557" s="366">
        <f t="shared" si="223"/>
        <v>1.2965082745796699</v>
      </c>
      <c r="O557" s="367">
        <f t="shared" si="224"/>
        <v>1.8264478408517149</v>
      </c>
      <c r="P557" s="368">
        <f t="shared" si="225"/>
        <v>1.2982617755633092</v>
      </c>
      <c r="Q557" s="369">
        <f t="shared" si="226"/>
        <v>-28.105056612988154</v>
      </c>
      <c r="R557" s="370">
        <f t="shared" si="227"/>
        <v>-274.15197921060951</v>
      </c>
      <c r="S557" s="372">
        <f t="shared" si="228"/>
        <v>-94.151979210609511</v>
      </c>
      <c r="U557" s="345">
        <f t="shared" si="234"/>
        <v>89125</v>
      </c>
      <c r="V557" s="345">
        <f t="shared" si="235"/>
        <v>7943265625</v>
      </c>
      <c r="X557" s="371">
        <f t="shared" si="229"/>
        <v>6.5624825172311807</v>
      </c>
      <c r="Y557" s="372">
        <f t="shared" si="230"/>
        <v>-74.78517028687051</v>
      </c>
      <c r="AA557" s="371">
        <f t="shared" si="231"/>
        <v>22.833686137614674</v>
      </c>
      <c r="AB557" s="372">
        <f t="shared" si="232"/>
        <v>-199.366808923739</v>
      </c>
      <c r="AD557">
        <f t="shared" si="236"/>
        <v>0</v>
      </c>
      <c r="AE557">
        <f t="shared" si="239"/>
        <v>0</v>
      </c>
    </row>
    <row r="558" spans="1:31" x14ac:dyDescent="0.2">
      <c r="A558" s="373">
        <v>89644</v>
      </c>
      <c r="B558" s="390">
        <f t="shared" si="233"/>
        <v>89.644000000000005</v>
      </c>
      <c r="C558" s="363">
        <f t="shared" si="214"/>
        <v>126.51224382371279</v>
      </c>
      <c r="D558" s="364">
        <f t="shared" si="215"/>
        <v>1.5628918712002871</v>
      </c>
      <c r="E558" s="364">
        <f t="shared" si="216"/>
        <v>1.2069965152468183</v>
      </c>
      <c r="F558" s="365">
        <f t="shared" si="217"/>
        <v>0.59436758699058034</v>
      </c>
      <c r="G558" s="364">
        <f t="shared" si="218"/>
        <v>2.8484832113169483</v>
      </c>
      <c r="H558" s="365">
        <f t="shared" si="219"/>
        <v>-1.2120891057061298</v>
      </c>
      <c r="I558" s="363">
        <f t="shared" si="220"/>
        <v>371859.96465277846</v>
      </c>
      <c r="J558" s="366">
        <f t="shared" si="221"/>
        <v>1.5707936376105394</v>
      </c>
      <c r="K558" s="374">
        <f t="shared" si="237"/>
        <v>115.05939518553868</v>
      </c>
      <c r="L558" s="375">
        <f t="shared" si="238"/>
        <v>1.562105054011808</v>
      </c>
      <c r="M558" s="363">
        <f t="shared" si="222"/>
        <v>3.7118474197573805</v>
      </c>
      <c r="N558" s="366">
        <f t="shared" si="223"/>
        <v>1.2980184658984419</v>
      </c>
      <c r="O558" s="367">
        <f t="shared" si="224"/>
        <v>1.8347343738930666</v>
      </c>
      <c r="P558" s="368">
        <f t="shared" si="225"/>
        <v>1.3028815731954164</v>
      </c>
      <c r="Q558" s="369">
        <f t="shared" si="226"/>
        <v>-28.181624419745205</v>
      </c>
      <c r="R558" s="370">
        <f t="shared" si="227"/>
        <v>-274.45835865114992</v>
      </c>
      <c r="S558" s="372">
        <f t="shared" si="228"/>
        <v>-94.458358651149922</v>
      </c>
      <c r="U558" s="345">
        <f t="shared" si="234"/>
        <v>89644</v>
      </c>
      <c r="V558" s="345">
        <f t="shared" si="235"/>
        <v>8036046736</v>
      </c>
      <c r="X558" s="371">
        <f t="shared" si="229"/>
        <v>6.5157252813802149</v>
      </c>
      <c r="Y558" s="372">
        <f t="shared" si="230"/>
        <v>-74.868799081730444</v>
      </c>
      <c r="AA558" s="371">
        <f t="shared" si="231"/>
        <v>22.803875566708584</v>
      </c>
      <c r="AB558" s="372">
        <f t="shared" si="232"/>
        <v>-199.58955956941949</v>
      </c>
      <c r="AD558">
        <f t="shared" si="236"/>
        <v>0</v>
      </c>
      <c r="AE558">
        <f t="shared" si="239"/>
        <v>0</v>
      </c>
    </row>
    <row r="559" spans="1:31" x14ac:dyDescent="0.2">
      <c r="A559" s="373">
        <v>90163</v>
      </c>
      <c r="B559" s="390">
        <f t="shared" si="233"/>
        <v>90.162999999999997</v>
      </c>
      <c r="C559" s="363">
        <f t="shared" si="214"/>
        <v>127.24464938327233</v>
      </c>
      <c r="D559" s="364">
        <f t="shared" si="215"/>
        <v>1.5629373692765263</v>
      </c>
      <c r="E559" s="364">
        <f t="shared" si="216"/>
        <v>1.2091921764767073</v>
      </c>
      <c r="F559" s="365">
        <f t="shared" si="217"/>
        <v>0.59704877733822059</v>
      </c>
      <c r="G559" s="364">
        <f t="shared" si="218"/>
        <v>2.8629473210189968</v>
      </c>
      <c r="H559" s="365">
        <f t="shared" si="219"/>
        <v>-1.2139826345400708</v>
      </c>
      <c r="I559" s="363">
        <f t="shared" si="220"/>
        <v>374012.87306442234</v>
      </c>
      <c r="J559" s="366">
        <f t="shared" si="221"/>
        <v>1.5707936530901341</v>
      </c>
      <c r="K559" s="374">
        <f t="shared" si="237"/>
        <v>115.72548916136431</v>
      </c>
      <c r="L559" s="375">
        <f t="shared" si="238"/>
        <v>1.5621550805790057</v>
      </c>
      <c r="M559" s="363">
        <f t="shared" si="222"/>
        <v>3.7317818228057087</v>
      </c>
      <c r="N559" s="366">
        <f t="shared" si="223"/>
        <v>1.2995125263379919</v>
      </c>
      <c r="O559" s="367">
        <f t="shared" si="224"/>
        <v>1.8430507377098757</v>
      </c>
      <c r="P559" s="368">
        <f t="shared" si="225"/>
        <v>1.3074777936067581</v>
      </c>
      <c r="Q559" s="369">
        <f t="shared" si="226"/>
        <v>-28.257791956581251</v>
      </c>
      <c r="R559" s="370">
        <f t="shared" si="227"/>
        <v>-274.76191778337835</v>
      </c>
      <c r="S559" s="372">
        <f t="shared" si="228"/>
        <v>-94.761917783378351</v>
      </c>
      <c r="U559" s="345">
        <f t="shared" si="234"/>
        <v>90163</v>
      </c>
      <c r="V559" s="345">
        <f t="shared" si="235"/>
        <v>8129366569</v>
      </c>
      <c r="X559" s="371">
        <f t="shared" si="229"/>
        <v>6.4691989301093287</v>
      </c>
      <c r="Y559" s="372">
        <f t="shared" si="230"/>
        <v>-74.951537015100172</v>
      </c>
      <c r="AA559" s="371">
        <f t="shared" si="231"/>
        <v>22.774234381143422</v>
      </c>
      <c r="AB559" s="372">
        <f t="shared" si="232"/>
        <v>-199.81038076827821</v>
      </c>
      <c r="AD559">
        <f t="shared" si="236"/>
        <v>0</v>
      </c>
      <c r="AE559">
        <f t="shared" si="239"/>
        <v>0</v>
      </c>
    </row>
    <row r="560" spans="1:31" x14ac:dyDescent="0.2">
      <c r="A560" s="373">
        <v>90682</v>
      </c>
      <c r="B560" s="390">
        <f t="shared" si="233"/>
        <v>90.682000000000002</v>
      </c>
      <c r="C560" s="363">
        <f t="shared" si="214"/>
        <v>127.97705520322292</v>
      </c>
      <c r="D560" s="364">
        <f t="shared" si="215"/>
        <v>1.5629823465867598</v>
      </c>
      <c r="E560" s="364">
        <f t="shared" si="216"/>
        <v>1.2113964987779715</v>
      </c>
      <c r="F560" s="365">
        <f t="shared" si="217"/>
        <v>0.5997202291555771</v>
      </c>
      <c r="G560" s="364">
        <f t="shared" si="218"/>
        <v>2.8774215924593292</v>
      </c>
      <c r="H560" s="365">
        <f t="shared" si="219"/>
        <v>-1.2158571200319628</v>
      </c>
      <c r="I560" s="363">
        <f t="shared" si="220"/>
        <v>376165.78147606627</v>
      </c>
      <c r="J560" s="366">
        <f t="shared" si="221"/>
        <v>1.5707936683925399</v>
      </c>
      <c r="K560" s="374">
        <f t="shared" si="237"/>
        <v>116.39158342349627</v>
      </c>
      <c r="L560" s="375">
        <f t="shared" si="238"/>
        <v>1.5622045345549342</v>
      </c>
      <c r="M560" s="363">
        <f t="shared" si="222"/>
        <v>3.7517244674658325</v>
      </c>
      <c r="N560" s="366">
        <f t="shared" si="223"/>
        <v>1.3009907064101078</v>
      </c>
      <c r="O560" s="367">
        <f t="shared" si="224"/>
        <v>1.8513968639804192</v>
      </c>
      <c r="P560" s="368">
        <f t="shared" si="225"/>
        <v>1.3120506290451808</v>
      </c>
      <c r="Q560" s="369">
        <f t="shared" si="226"/>
        <v>-28.333563252635443</v>
      </c>
      <c r="R560" s="370">
        <f t="shared" si="227"/>
        <v>-275.06269701009364</v>
      </c>
      <c r="S560" s="372">
        <f t="shared" si="228"/>
        <v>-95.062697010093643</v>
      </c>
      <c r="U560" s="345">
        <f t="shared" si="234"/>
        <v>90682</v>
      </c>
      <c r="V560" s="345">
        <f t="shared" si="235"/>
        <v>8223225124</v>
      </c>
      <c r="X560" s="371">
        <f t="shared" si="229"/>
        <v>6.4229014157068605</v>
      </c>
      <c r="Y560" s="372">
        <f t="shared" si="230"/>
        <v>-75.033397867348697</v>
      </c>
      <c r="AA560" s="371">
        <f t="shared" si="231"/>
        <v>22.744760599491698</v>
      </c>
      <c r="AB560" s="372">
        <f t="shared" si="232"/>
        <v>-200.02929914274489</v>
      </c>
      <c r="AD560">
        <f t="shared" si="236"/>
        <v>0</v>
      </c>
      <c r="AE560">
        <f t="shared" si="239"/>
        <v>0</v>
      </c>
    </row>
    <row r="561" spans="1:31" x14ac:dyDescent="0.2">
      <c r="A561" s="373">
        <v>91201</v>
      </c>
      <c r="B561" s="390">
        <f t="shared" si="233"/>
        <v>91.200999999999993</v>
      </c>
      <c r="C561" s="363">
        <f t="shared" si="214"/>
        <v>128.70946127911938</v>
      </c>
      <c r="D561" s="364">
        <f t="shared" si="215"/>
        <v>1.5630268120208775</v>
      </c>
      <c r="E561" s="364">
        <f t="shared" si="216"/>
        <v>1.2136094349563691</v>
      </c>
      <c r="F561" s="365">
        <f t="shared" si="217"/>
        <v>0.60238195748136192</v>
      </c>
      <c r="G561" s="364">
        <f t="shared" si="218"/>
        <v>2.891905873056472</v>
      </c>
      <c r="H561" s="365">
        <f t="shared" si="219"/>
        <v>-1.2177128350483728</v>
      </c>
      <c r="I561" s="363">
        <f t="shared" si="220"/>
        <v>378318.68988771021</v>
      </c>
      <c r="J561" s="366">
        <f t="shared" si="221"/>
        <v>1.5707936835207821</v>
      </c>
      <c r="K561" s="374">
        <f t="shared" si="237"/>
        <v>117.05767796704703</v>
      </c>
      <c r="L561" s="375">
        <f t="shared" si="238"/>
        <v>1.5622534257140162</v>
      </c>
      <c r="M561" s="363">
        <f t="shared" si="222"/>
        <v>3.771675223005766</v>
      </c>
      <c r="N561" s="366">
        <f t="shared" si="223"/>
        <v>1.3024532516070109</v>
      </c>
      <c r="O561" s="367">
        <f t="shared" si="224"/>
        <v>1.8597726860958943</v>
      </c>
      <c r="P561" s="368">
        <f t="shared" si="225"/>
        <v>1.3166002700284223</v>
      </c>
      <c r="Q561" s="369">
        <f t="shared" si="226"/>
        <v>-28.408942278605267</v>
      </c>
      <c r="R561" s="370">
        <f t="shared" si="227"/>
        <v>-275.3607360347674</v>
      </c>
      <c r="S561" s="372">
        <f t="shared" si="228"/>
        <v>-95.360736034767399</v>
      </c>
      <c r="U561" s="345">
        <f t="shared" si="234"/>
        <v>91201</v>
      </c>
      <c r="V561" s="345">
        <f t="shared" si="235"/>
        <v>8317622401</v>
      </c>
      <c r="X561" s="371">
        <f t="shared" si="229"/>
        <v>6.37683071351388</v>
      </c>
      <c r="Y561" s="372">
        <f t="shared" si="230"/>
        <v>-75.114395144284472</v>
      </c>
      <c r="AA561" s="371">
        <f t="shared" si="231"/>
        <v>22.715452275714853</v>
      </c>
      <c r="AB561" s="372">
        <f t="shared" si="232"/>
        <v>-200.246340890483</v>
      </c>
      <c r="AD561">
        <f t="shared" si="236"/>
        <v>0</v>
      </c>
      <c r="AE561">
        <f t="shared" si="239"/>
        <v>0</v>
      </c>
    </row>
    <row r="562" spans="1:31" x14ac:dyDescent="0.2">
      <c r="A562" s="373">
        <v>91732</v>
      </c>
      <c r="B562" s="390">
        <f t="shared" si="233"/>
        <v>91.731999999999999</v>
      </c>
      <c r="C562" s="363">
        <f t="shared" si="214"/>
        <v>129.45880185990575</v>
      </c>
      <c r="D562" s="364">
        <f t="shared" si="215"/>
        <v>1.5630717848521292</v>
      </c>
      <c r="E562" s="364">
        <f t="shared" si="216"/>
        <v>1.2158824031635593</v>
      </c>
      <c r="F562" s="365">
        <f t="shared" si="217"/>
        <v>0.60509518148472163</v>
      </c>
      <c r="G562" s="364">
        <f t="shared" si="218"/>
        <v>2.9067352532348849</v>
      </c>
      <c r="H562" s="365">
        <f t="shared" si="219"/>
        <v>-1.2195923096972929</v>
      </c>
      <c r="I562" s="363">
        <f t="shared" si="220"/>
        <v>380521.37652852532</v>
      </c>
      <c r="J562" s="366">
        <f t="shared" si="221"/>
        <v>1.5707936988216429</v>
      </c>
      <c r="K562" s="374">
        <f t="shared" si="237"/>
        <v>117.73917382677941</v>
      </c>
      <c r="L562" s="375">
        <f t="shared" si="238"/>
        <v>1.5623028747795664</v>
      </c>
      <c r="M562" s="363">
        <f t="shared" si="222"/>
        <v>3.7920955285281019</v>
      </c>
      <c r="N562" s="366">
        <f t="shared" si="223"/>
        <v>1.3039336824661283</v>
      </c>
      <c r="O562" s="367">
        <f t="shared" si="224"/>
        <v>1.8683728348342081</v>
      </c>
      <c r="P562" s="368">
        <f t="shared" si="225"/>
        <v>1.3212312968204569</v>
      </c>
      <c r="Q562" s="369">
        <f t="shared" si="226"/>
        <v>-28.485662273706602</v>
      </c>
      <c r="R562" s="370">
        <f t="shared" si="227"/>
        <v>-275.66287085335688</v>
      </c>
      <c r="S562" s="372">
        <f t="shared" si="228"/>
        <v>-95.662870853356878</v>
      </c>
      <c r="U562" s="345">
        <f t="shared" si="234"/>
        <v>91732</v>
      </c>
      <c r="V562" s="345">
        <f t="shared" si="235"/>
        <v>8414759824</v>
      </c>
      <c r="X562" s="371">
        <f t="shared" si="229"/>
        <v>6.329927444293368</v>
      </c>
      <c r="Y562" s="372">
        <f t="shared" si="230"/>
        <v>-75.196385238384366</v>
      </c>
      <c r="AA562" s="371">
        <f t="shared" si="231"/>
        <v>22.685635549834036</v>
      </c>
      <c r="AB562" s="372">
        <f t="shared" si="232"/>
        <v>-200.46648561497247</v>
      </c>
      <c r="AD562">
        <f t="shared" si="236"/>
        <v>0</v>
      </c>
      <c r="AE562">
        <f t="shared" si="239"/>
        <v>0</v>
      </c>
    </row>
    <row r="563" spans="1:31" x14ac:dyDescent="0.2">
      <c r="A563" s="373">
        <v>92263</v>
      </c>
      <c r="B563" s="390">
        <f t="shared" si="233"/>
        <v>92.263000000000005</v>
      </c>
      <c r="C563" s="363">
        <f t="shared" si="214"/>
        <v>130.20814269951609</v>
      </c>
      <c r="D563" s="364">
        <f t="shared" si="215"/>
        <v>1.5631162400510326</v>
      </c>
      <c r="E563" s="364">
        <f t="shared" si="216"/>
        <v>1.2181642887508319</v>
      </c>
      <c r="F563" s="365">
        <f t="shared" si="217"/>
        <v>0.60779826041248119</v>
      </c>
      <c r="G563" s="364">
        <f t="shared" si="218"/>
        <v>2.9215747969812131</v>
      </c>
      <c r="H563" s="365">
        <f t="shared" si="219"/>
        <v>-1.2214526980455314</v>
      </c>
      <c r="I563" s="363">
        <f t="shared" si="220"/>
        <v>382724.06316934043</v>
      </c>
      <c r="J563" s="366">
        <f t="shared" si="221"/>
        <v>1.5707937139463819</v>
      </c>
      <c r="K563" s="374">
        <f t="shared" si="237"/>
        <v>118.42066997109519</v>
      </c>
      <c r="L563" s="375">
        <f t="shared" si="238"/>
        <v>1.5623517546988601</v>
      </c>
      <c r="M563" s="363">
        <f t="shared" si="222"/>
        <v>3.8125240560530975</v>
      </c>
      <c r="N563" s="366">
        <f t="shared" si="223"/>
        <v>1.3053982514144522</v>
      </c>
      <c r="O563" s="367">
        <f t="shared" si="224"/>
        <v>1.8770039328212851</v>
      </c>
      <c r="P563" s="368">
        <f t="shared" si="225"/>
        <v>1.3258384421219405</v>
      </c>
      <c r="Q563" s="369">
        <f t="shared" si="226"/>
        <v>-28.561979876365303</v>
      </c>
      <c r="R563" s="370">
        <f t="shared" si="227"/>
        <v>-275.96221918976022</v>
      </c>
      <c r="S563" s="372">
        <f t="shared" si="228"/>
        <v>-95.962219189760219</v>
      </c>
      <c r="U563" s="345">
        <f t="shared" si="234"/>
        <v>92263</v>
      </c>
      <c r="V563" s="345">
        <f t="shared" si="235"/>
        <v>8512461169</v>
      </c>
      <c r="X563" s="371">
        <f t="shared" si="229"/>
        <v>6.2832573821008753</v>
      </c>
      <c r="Y563" s="372">
        <f t="shared" si="230"/>
        <v>-75.277499111527177</v>
      </c>
      <c r="AA563" s="371">
        <f t="shared" si="231"/>
        <v>22.655988009367825</v>
      </c>
      <c r="AB563" s="372">
        <f t="shared" si="232"/>
        <v>-200.68472007823297</v>
      </c>
      <c r="AD563">
        <f t="shared" si="236"/>
        <v>0</v>
      </c>
      <c r="AE563">
        <f t="shared" si="239"/>
        <v>0</v>
      </c>
    </row>
    <row r="564" spans="1:31" x14ac:dyDescent="0.2">
      <c r="A564" s="373">
        <v>92794</v>
      </c>
      <c r="B564" s="390">
        <f t="shared" si="233"/>
        <v>92.793999999999997</v>
      </c>
      <c r="C564" s="363">
        <f t="shared" si="214"/>
        <v>130.95748379350729</v>
      </c>
      <c r="D564" s="364">
        <f t="shared" si="215"/>
        <v>1.5631601865031155</v>
      </c>
      <c r="E564" s="364">
        <f t="shared" si="216"/>
        <v>1.2204550416996935</v>
      </c>
      <c r="F564" s="365">
        <f t="shared" si="217"/>
        <v>0.61049121177930343</v>
      </c>
      <c r="G564" s="364">
        <f t="shared" si="218"/>
        <v>2.9364243502073322</v>
      </c>
      <c r="H564" s="365">
        <f t="shared" si="219"/>
        <v>-1.2232942766761512</v>
      </c>
      <c r="I564" s="363">
        <f t="shared" si="220"/>
        <v>384926.74981015566</v>
      </c>
      <c r="J564" s="366">
        <f t="shared" si="221"/>
        <v>1.5707937288980227</v>
      </c>
      <c r="K564" s="374">
        <f t="shared" si="237"/>
        <v>119.10216639510924</v>
      </c>
      <c r="L564" s="375">
        <f t="shared" si="238"/>
        <v>1.5624000752415379</v>
      </c>
      <c r="M564" s="363">
        <f t="shared" si="222"/>
        <v>3.8329606741183526</v>
      </c>
      <c r="N564" s="366">
        <f t="shared" si="223"/>
        <v>1.3068472058364349</v>
      </c>
      <c r="O564" s="367">
        <f t="shared" si="224"/>
        <v>1.885665914107421</v>
      </c>
      <c r="P564" s="368">
        <f t="shared" si="225"/>
        <v>1.3304219043756202</v>
      </c>
      <c r="Q564" s="369">
        <f t="shared" si="226"/>
        <v>-28.63789915722835</v>
      </c>
      <c r="R564" s="370">
        <f t="shared" si="227"/>
        <v>-276.25882138103754</v>
      </c>
      <c r="S564" s="372">
        <f t="shared" si="228"/>
        <v>-96.258821381037535</v>
      </c>
      <c r="U564" s="345">
        <f t="shared" si="234"/>
        <v>92794</v>
      </c>
      <c r="V564" s="345">
        <f t="shared" si="235"/>
        <v>8610726436</v>
      </c>
      <c r="X564" s="371">
        <f t="shared" si="229"/>
        <v>6.2368184319430515</v>
      </c>
      <c r="Y564" s="372">
        <f t="shared" si="230"/>
        <v>-75.357750378211975</v>
      </c>
      <c r="AA564" s="371">
        <f t="shared" si="231"/>
        <v>22.626507678662598</v>
      </c>
      <c r="AB564" s="372">
        <f t="shared" si="232"/>
        <v>-200.9010710028256</v>
      </c>
      <c r="AD564">
        <f t="shared" si="236"/>
        <v>0</v>
      </c>
      <c r="AE564">
        <f t="shared" si="239"/>
        <v>0</v>
      </c>
    </row>
    <row r="565" spans="1:31" x14ac:dyDescent="0.2">
      <c r="A565" s="373">
        <v>93325</v>
      </c>
      <c r="B565" s="390">
        <f t="shared" si="233"/>
        <v>93.325000000000003</v>
      </c>
      <c r="C565" s="363">
        <f t="shared" si="214"/>
        <v>131.70682513753755</v>
      </c>
      <c r="D565" s="364">
        <f t="shared" si="215"/>
        <v>1.5632036328916981</v>
      </c>
      <c r="E565" s="364">
        <f t="shared" si="216"/>
        <v>1.2227546121728321</v>
      </c>
      <c r="F565" s="365">
        <f t="shared" si="217"/>
        <v>0.61317405355641375</v>
      </c>
      <c r="G565" s="364">
        <f t="shared" si="218"/>
        <v>2.9512837618234333</v>
      </c>
      <c r="H565" s="365">
        <f t="shared" si="219"/>
        <v>-1.2251173171179266</v>
      </c>
      <c r="I565" s="363">
        <f t="shared" si="220"/>
        <v>387129.43645097106</v>
      </c>
      <c r="J565" s="366">
        <f t="shared" si="221"/>
        <v>1.5707937436795201</v>
      </c>
      <c r="K565" s="374">
        <f t="shared" si="237"/>
        <v>119.78366309404764</v>
      </c>
      <c r="L565" s="375">
        <f t="shared" si="238"/>
        <v>1.5624478459549174</v>
      </c>
      <c r="M565" s="363">
        <f t="shared" si="222"/>
        <v>3.8534052539988028</v>
      </c>
      <c r="N565" s="366">
        <f t="shared" si="223"/>
        <v>1.3082807881318359</v>
      </c>
      <c r="O565" s="367">
        <f t="shared" si="224"/>
        <v>1.8943587144993324</v>
      </c>
      <c r="P565" s="368">
        <f t="shared" si="225"/>
        <v>1.3349818801476641</v>
      </c>
      <c r="Q565" s="369">
        <f t="shared" si="226"/>
        <v>-28.71342412820588</v>
      </c>
      <c r="R565" s="370">
        <f t="shared" si="227"/>
        <v>-276.55271705652746</v>
      </c>
      <c r="S565" s="372">
        <f t="shared" si="228"/>
        <v>-96.552717056527456</v>
      </c>
      <c r="U565" s="345">
        <f t="shared" si="234"/>
        <v>93325</v>
      </c>
      <c r="V565" s="345">
        <f t="shared" si="235"/>
        <v>8709555625</v>
      </c>
      <c r="X565" s="371">
        <f t="shared" si="229"/>
        <v>6.1906085230374277</v>
      </c>
      <c r="Y565" s="372">
        <f t="shared" si="230"/>
        <v>-75.437152380070316</v>
      </c>
      <c r="AA565" s="371">
        <f t="shared" si="231"/>
        <v>22.5971926165907</v>
      </c>
      <c r="AB565" s="372">
        <f t="shared" si="232"/>
        <v>-201.11556467645713</v>
      </c>
      <c r="AD565">
        <f t="shared" si="236"/>
        <v>0</v>
      </c>
      <c r="AE565">
        <f t="shared" si="239"/>
        <v>0</v>
      </c>
    </row>
    <row r="566" spans="1:31" x14ac:dyDescent="0.2">
      <c r="A566" s="373">
        <v>93868.5</v>
      </c>
      <c r="B566" s="390">
        <f t="shared" si="233"/>
        <v>93.868499999999997</v>
      </c>
      <c r="C566" s="363">
        <f t="shared" si="214"/>
        <v>132.47380659822426</v>
      </c>
      <c r="D566" s="364">
        <f t="shared" si="215"/>
        <v>1.5632475930265202</v>
      </c>
      <c r="E566" s="364">
        <f t="shared" si="216"/>
        <v>1.2251173951578738</v>
      </c>
      <c r="F566" s="365">
        <f t="shared" si="217"/>
        <v>0.61590960060122768</v>
      </c>
      <c r="G566" s="364">
        <f t="shared" si="218"/>
        <v>2.9665030258727323</v>
      </c>
      <c r="H566" s="365">
        <f t="shared" si="219"/>
        <v>-1.226964353107896</v>
      </c>
      <c r="I566" s="363">
        <f t="shared" si="220"/>
        <v>389383.97541383951</v>
      </c>
      <c r="J566" s="366">
        <f t="shared" si="221"/>
        <v>1.5707937586357963</v>
      </c>
      <c r="K566" s="374">
        <f t="shared" si="237"/>
        <v>120.48120283880763</v>
      </c>
      <c r="L566" s="375">
        <f t="shared" si="238"/>
        <v>1.5624961815556537</v>
      </c>
      <c r="M566" s="363">
        <f t="shared" si="222"/>
        <v>3.8743392229072797</v>
      </c>
      <c r="N566" s="366">
        <f t="shared" si="223"/>
        <v>1.3097324463602404</v>
      </c>
      <c r="O566" s="367">
        <f t="shared" si="224"/>
        <v>1.9032879983725253</v>
      </c>
      <c r="P566" s="368">
        <f t="shared" si="225"/>
        <v>1.3396250808635712</v>
      </c>
      <c r="Q566" s="369">
        <f t="shared" si="226"/>
        <v>-28.790322778397893</v>
      </c>
      <c r="R566" s="370">
        <f t="shared" si="227"/>
        <v>-276.8507689788126</v>
      </c>
      <c r="S566" s="372">
        <f t="shared" si="228"/>
        <v>-96.850768978812596</v>
      </c>
      <c r="U566" s="345">
        <f t="shared" si="234"/>
        <v>93868.5</v>
      </c>
      <c r="V566" s="345">
        <f t="shared" si="235"/>
        <v>8811295292.25</v>
      </c>
      <c r="X566" s="371">
        <f t="shared" si="229"/>
        <v>6.1435458664103351</v>
      </c>
      <c r="Y566" s="372">
        <f t="shared" si="230"/>
        <v>-75.517557700954299</v>
      </c>
      <c r="AA566" s="371">
        <f t="shared" si="231"/>
        <v>22.567356623025777</v>
      </c>
      <c r="AB566" s="372">
        <f t="shared" si="232"/>
        <v>-201.33321127785828</v>
      </c>
      <c r="AD566">
        <f t="shared" si="236"/>
        <v>0</v>
      </c>
      <c r="AE566">
        <f t="shared" si="239"/>
        <v>0</v>
      </c>
    </row>
    <row r="567" spans="1:31" x14ac:dyDescent="0.2">
      <c r="A567" s="373">
        <v>94412</v>
      </c>
      <c r="B567" s="390">
        <f t="shared" si="233"/>
        <v>94.412000000000006</v>
      </c>
      <c r="C567" s="363">
        <f t="shared" si="214"/>
        <v>133.24078831196843</v>
      </c>
      <c r="D567" s="364">
        <f t="shared" si="215"/>
        <v>1.5632910470608541</v>
      </c>
      <c r="E567" s="364">
        <f t="shared" si="216"/>
        <v>1.2274893106289735</v>
      </c>
      <c r="F567" s="365">
        <f t="shared" si="217"/>
        <v>0.61863459600833803</v>
      </c>
      <c r="G567" s="364">
        <f t="shared" si="218"/>
        <v>2.9817323069395845</v>
      </c>
      <c r="H567" s="365">
        <f t="shared" si="219"/>
        <v>-1.2287925277059424</v>
      </c>
      <c r="I567" s="363">
        <f t="shared" si="220"/>
        <v>391638.51437670807</v>
      </c>
      <c r="J567" s="366">
        <f t="shared" si="221"/>
        <v>1.5707937734198754</v>
      </c>
      <c r="K567" s="374">
        <f t="shared" si="237"/>
        <v>121.17874286181092</v>
      </c>
      <c r="L567" s="375">
        <f t="shared" si="238"/>
        <v>1.5625439606890006</v>
      </c>
      <c r="M567" s="363">
        <f t="shared" si="222"/>
        <v>3.8952812684913654</v>
      </c>
      <c r="N567" s="366">
        <f t="shared" si="223"/>
        <v>1.3111684986031367</v>
      </c>
      <c r="O567" s="367">
        <f t="shared" si="224"/>
        <v>1.9122494388476465</v>
      </c>
      <c r="P567" s="368">
        <f t="shared" si="225"/>
        <v>1.3442440870297834</v>
      </c>
      <c r="Q567" s="369">
        <f t="shared" si="226"/>
        <v>-28.866816657494432</v>
      </c>
      <c r="R567" s="370">
        <f t="shared" si="227"/>
        <v>-277.1460672605042</v>
      </c>
      <c r="S567" s="372">
        <f t="shared" si="228"/>
        <v>-97.146067260504196</v>
      </c>
      <c r="U567" s="345">
        <f t="shared" si="234"/>
        <v>94412</v>
      </c>
      <c r="V567" s="345">
        <f t="shared" si="235"/>
        <v>8913625744</v>
      </c>
      <c r="X567" s="371">
        <f t="shared" si="229"/>
        <v>6.0967188480672254</v>
      </c>
      <c r="Y567" s="372">
        <f t="shared" si="230"/>
        <v>-75.597100738099186</v>
      </c>
      <c r="AA567" s="371">
        <f t="shared" si="231"/>
        <v>22.537689762272343</v>
      </c>
      <c r="AB567" s="372">
        <f t="shared" si="232"/>
        <v>-201.54896652240495</v>
      </c>
      <c r="AD567">
        <f t="shared" si="236"/>
        <v>0</v>
      </c>
      <c r="AE567">
        <f t="shared" si="239"/>
        <v>0</v>
      </c>
    </row>
    <row r="568" spans="1:31" x14ac:dyDescent="0.2">
      <c r="A568" s="373">
        <v>94955.5</v>
      </c>
      <c r="B568" s="390">
        <f t="shared" si="233"/>
        <v>94.955500000000001</v>
      </c>
      <c r="C568" s="363">
        <f t="shared" si="214"/>
        <v>134.00777027442496</v>
      </c>
      <c r="D568" s="364">
        <f t="shared" si="215"/>
        <v>1.5633340036844023</v>
      </c>
      <c r="E568" s="364">
        <f t="shared" si="216"/>
        <v>1.2298703057476714</v>
      </c>
      <c r="F568" s="365">
        <f t="shared" si="217"/>
        <v>0.62134906047463334</v>
      </c>
      <c r="G568" s="364">
        <f t="shared" si="218"/>
        <v>2.9969714523178586</v>
      </c>
      <c r="H568" s="365">
        <f t="shared" si="219"/>
        <v>-1.2306021163196816</v>
      </c>
      <c r="I568" s="363">
        <f t="shared" si="220"/>
        <v>393893.05333957681</v>
      </c>
      <c r="J568" s="366">
        <f t="shared" si="221"/>
        <v>1.570793788034714</v>
      </c>
      <c r="K568" s="374">
        <f t="shared" si="237"/>
        <v>121.87628315828003</v>
      </c>
      <c r="L568" s="375">
        <f t="shared" si="238"/>
        <v>1.5625911929093061</v>
      </c>
      <c r="M568" s="363">
        <f t="shared" si="222"/>
        <v>3.9162312611810011</v>
      </c>
      <c r="N568" s="366">
        <f t="shared" si="223"/>
        <v>1.3125891893435571</v>
      </c>
      <c r="O568" s="367">
        <f t="shared" si="224"/>
        <v>1.9212429726144464</v>
      </c>
      <c r="P568" s="368">
        <f t="shared" si="225"/>
        <v>1.3488391033611369</v>
      </c>
      <c r="Q568" s="369">
        <f t="shared" si="226"/>
        <v>-28.942909884266204</v>
      </c>
      <c r="R568" s="370">
        <f t="shared" si="227"/>
        <v>-277.43865218322281</v>
      </c>
      <c r="S568" s="372">
        <f t="shared" si="228"/>
        <v>-97.438652183222814</v>
      </c>
      <c r="U568" s="345">
        <f t="shared" si="234"/>
        <v>94955.5</v>
      </c>
      <c r="V568" s="345">
        <f t="shared" si="235"/>
        <v>9016546980.25</v>
      </c>
      <c r="X568" s="371">
        <f t="shared" si="229"/>
        <v>6.0501253245551192</v>
      </c>
      <c r="Y568" s="372">
        <f t="shared" si="230"/>
        <v>-75.675794952096552</v>
      </c>
      <c r="AA568" s="371">
        <f t="shared" si="231"/>
        <v>22.508190059012676</v>
      </c>
      <c r="AB568" s="372">
        <f t="shared" si="232"/>
        <v>-201.76285723112628</v>
      </c>
      <c r="AD568">
        <f t="shared" si="236"/>
        <v>0</v>
      </c>
      <c r="AE568">
        <f t="shared" si="239"/>
        <v>0</v>
      </c>
    </row>
    <row r="569" spans="1:31" x14ac:dyDescent="0.2">
      <c r="A569" s="373">
        <v>95499</v>
      </c>
      <c r="B569" s="390">
        <f t="shared" si="233"/>
        <v>95.498999999999995</v>
      </c>
      <c r="C569" s="363">
        <f t="shared" si="214"/>
        <v>134.77475248134778</v>
      </c>
      <c r="D569" s="364">
        <f t="shared" si="215"/>
        <v>1.5633764713890677</v>
      </c>
      <c r="E569" s="364">
        <f t="shared" si="216"/>
        <v>1.2322603278824029</v>
      </c>
      <c r="F569" s="365">
        <f t="shared" si="217"/>
        <v>0.62405301515810641</v>
      </c>
      <c r="G569" s="364">
        <f t="shared" si="218"/>
        <v>3.0122203122937337</v>
      </c>
      <c r="H569" s="365">
        <f t="shared" si="219"/>
        <v>-1.2323933892722359</v>
      </c>
      <c r="I569" s="363">
        <f t="shared" si="220"/>
        <v>396147.5923024455</v>
      </c>
      <c r="J569" s="366">
        <f t="shared" si="221"/>
        <v>1.5707938024832022</v>
      </c>
      <c r="K569" s="374">
        <f t="shared" si="237"/>
        <v>122.57382372354628</v>
      </c>
      <c r="L569" s="375">
        <f t="shared" si="238"/>
        <v>1.5626378875534424</v>
      </c>
      <c r="M569" s="363">
        <f t="shared" si="222"/>
        <v>3.9371890741152735</v>
      </c>
      <c r="N569" s="366">
        <f t="shared" si="223"/>
        <v>1.3139947581099753</v>
      </c>
      <c r="O569" s="367">
        <f t="shared" si="224"/>
        <v>1.9302685381615754</v>
      </c>
      <c r="P569" s="368">
        <f t="shared" si="225"/>
        <v>1.3534103325456002</v>
      </c>
      <c r="Q569" s="369">
        <f t="shared" si="226"/>
        <v>-29.018606518278816</v>
      </c>
      <c r="R569" s="370">
        <f t="shared" si="227"/>
        <v>-277.72856331196721</v>
      </c>
      <c r="S569" s="372">
        <f t="shared" si="228"/>
        <v>-97.728563311967207</v>
      </c>
      <c r="U569" s="345">
        <f t="shared" si="234"/>
        <v>95499</v>
      </c>
      <c r="V569" s="345">
        <f t="shared" si="235"/>
        <v>9120059001</v>
      </c>
      <c r="X569" s="371">
        <f t="shared" si="229"/>
        <v>6.0037631778041156</v>
      </c>
      <c r="Y569" s="372">
        <f t="shared" si="230"/>
        <v>-75.75365353211923</v>
      </c>
      <c r="AA569" s="371">
        <f t="shared" si="231"/>
        <v>22.478855571751069</v>
      </c>
      <c r="AB569" s="372">
        <f t="shared" si="232"/>
        <v>-201.97490977984796</v>
      </c>
      <c r="AD569">
        <f t="shared" si="236"/>
        <v>0</v>
      </c>
      <c r="AE569">
        <f t="shared" si="239"/>
        <v>0</v>
      </c>
    </row>
    <row r="570" spans="1:31" x14ac:dyDescent="0.2">
      <c r="A570" s="373">
        <v>96611.5</v>
      </c>
      <c r="B570" s="390">
        <f t="shared" si="233"/>
        <v>96.611500000000007</v>
      </c>
      <c r="C570" s="363">
        <f t="shared" si="214"/>
        <v>136.34470300591525</v>
      </c>
      <c r="D570" s="364">
        <f t="shared" si="215"/>
        <v>1.5634619093688962</v>
      </c>
      <c r="E570" s="364">
        <f t="shared" si="216"/>
        <v>1.2371804370238249</v>
      </c>
      <c r="F570" s="365">
        <f t="shared" si="217"/>
        <v>0.62955510672771764</v>
      </c>
      <c r="G570" s="364">
        <f t="shared" si="218"/>
        <v>3.0434631597406332</v>
      </c>
      <c r="H570" s="365">
        <f t="shared" si="219"/>
        <v>-1.2360039737259301</v>
      </c>
      <c r="I570" s="363">
        <f t="shared" si="220"/>
        <v>400762.44896517164</v>
      </c>
      <c r="J570" s="366">
        <f t="shared" si="221"/>
        <v>1.5707938315511367</v>
      </c>
      <c r="K570" s="374">
        <f t="shared" si="237"/>
        <v>124.00163296744327</v>
      </c>
      <c r="L570" s="375">
        <f t="shared" si="238"/>
        <v>1.5627318294531745</v>
      </c>
      <c r="M570" s="363">
        <f t="shared" si="222"/>
        <v>3.9801118681343688</v>
      </c>
      <c r="N570" s="366">
        <f t="shared" si="223"/>
        <v>1.3168256680756754</v>
      </c>
      <c r="O570" s="367">
        <f t="shared" si="224"/>
        <v>1.948842770217633</v>
      </c>
      <c r="P570" s="368">
        <f t="shared" si="225"/>
        <v>1.3626939286052344</v>
      </c>
      <c r="Q570" s="369">
        <f t="shared" si="226"/>
        <v>-29.172331367773022</v>
      </c>
      <c r="R570" s="370">
        <f t="shared" si="227"/>
        <v>-278.31381243086253</v>
      </c>
      <c r="S570" s="372">
        <f t="shared" si="228"/>
        <v>-98.313812430862527</v>
      </c>
      <c r="U570" s="345">
        <f t="shared" si="234"/>
        <v>96611.5</v>
      </c>
      <c r="V570" s="345">
        <f t="shared" si="235"/>
        <v>9333781932.25</v>
      </c>
      <c r="X570" s="371">
        <f t="shared" si="229"/>
        <v>5.9095764066016958</v>
      </c>
      <c r="Y570" s="372">
        <f t="shared" si="230"/>
        <v>-75.910471916610419</v>
      </c>
      <c r="AA570" s="371">
        <f t="shared" si="231"/>
        <v>22.419317493459282</v>
      </c>
      <c r="AB570" s="372">
        <f t="shared" si="232"/>
        <v>-202.40334051425211</v>
      </c>
      <c r="AD570">
        <f t="shared" si="236"/>
        <v>0</v>
      </c>
      <c r="AE570">
        <f t="shared" si="239"/>
        <v>0</v>
      </c>
    </row>
    <row r="571" spans="1:31" x14ac:dyDescent="0.2">
      <c r="A571" s="373">
        <v>97724</v>
      </c>
      <c r="B571" s="390">
        <f t="shared" si="233"/>
        <v>97.724000000000004</v>
      </c>
      <c r="C571" s="363">
        <f t="shared" si="214"/>
        <v>137.91465450309187</v>
      </c>
      <c r="D571" s="364">
        <f t="shared" si="215"/>
        <v>1.5635454021828017</v>
      </c>
      <c r="E571" s="364">
        <f t="shared" si="216"/>
        <v>1.2421377019804951</v>
      </c>
      <c r="F571" s="365">
        <f t="shared" si="217"/>
        <v>0.63501344569360507</v>
      </c>
      <c r="G571" s="364">
        <f t="shared" si="218"/>
        <v>3.0747448761532445</v>
      </c>
      <c r="H571" s="365">
        <f t="shared" si="219"/>
        <v>-1.2395411370736116</v>
      </c>
      <c r="I571" s="363">
        <f t="shared" si="220"/>
        <v>405377.30562789802</v>
      </c>
      <c r="J571" s="366">
        <f t="shared" si="221"/>
        <v>1.5707938599572466</v>
      </c>
      <c r="K571" s="374">
        <f t="shared" si="237"/>
        <v>125.42944328075045</v>
      </c>
      <c r="L571" s="375">
        <f t="shared" si="238"/>
        <v>1.5628236326020692</v>
      </c>
      <c r="M571" s="363">
        <f t="shared" si="222"/>
        <v>4.0230658782011348</v>
      </c>
      <c r="N571" s="366">
        <f t="shared" si="223"/>
        <v>1.3195961489714432</v>
      </c>
      <c r="O571" s="367">
        <f t="shared" si="224"/>
        <v>1.9675504730965288</v>
      </c>
      <c r="P571" s="368">
        <f t="shared" si="225"/>
        <v>1.3718803929472663</v>
      </c>
      <c r="Q571" s="369">
        <f t="shared" si="226"/>
        <v>-29.324444831596367</v>
      </c>
      <c r="R571" s="370">
        <f t="shared" si="227"/>
        <v>-278.8883451553163</v>
      </c>
      <c r="S571" s="372">
        <f t="shared" si="228"/>
        <v>-98.888345155316301</v>
      </c>
      <c r="U571" s="345">
        <f t="shared" si="234"/>
        <v>97724</v>
      </c>
      <c r="V571" s="345">
        <f t="shared" si="235"/>
        <v>9549980176</v>
      </c>
      <c r="X571" s="371">
        <f t="shared" si="229"/>
        <v>5.8163327047008782</v>
      </c>
      <c r="Y571" s="372">
        <f t="shared" si="230"/>
        <v>-76.063950473907454</v>
      </c>
      <c r="AA571" s="371">
        <f t="shared" si="231"/>
        <v>22.360447731536759</v>
      </c>
      <c r="AB571" s="372">
        <f t="shared" si="232"/>
        <v>-202.8243946814089</v>
      </c>
      <c r="AD571">
        <f t="shared" si="236"/>
        <v>0</v>
      </c>
      <c r="AE571">
        <f t="shared" si="239"/>
        <v>0</v>
      </c>
    </row>
    <row r="572" spans="1:31" x14ac:dyDescent="0.2">
      <c r="A572" s="373">
        <v>98862</v>
      </c>
      <c r="B572" s="390">
        <f t="shared" si="233"/>
        <v>98.861999999999995</v>
      </c>
      <c r="C572" s="363">
        <f t="shared" si="214"/>
        <v>139.5205923774474</v>
      </c>
      <c r="D572" s="364">
        <f t="shared" si="215"/>
        <v>1.5636288646654961</v>
      </c>
      <c r="E572" s="364">
        <f t="shared" si="216"/>
        <v>1.2472465752962161</v>
      </c>
      <c r="F572" s="365">
        <f t="shared" si="217"/>
        <v>0.64055183566470952</v>
      </c>
      <c r="G572" s="364">
        <f t="shared" si="218"/>
        <v>3.1067826031905774</v>
      </c>
      <c r="H572" s="365">
        <f t="shared" si="219"/>
        <v>-1.2430856335328255</v>
      </c>
      <c r="I572" s="363">
        <f t="shared" si="220"/>
        <v>410097.94102761312</v>
      </c>
      <c r="J572" s="366">
        <f t="shared" si="221"/>
        <v>1.5707938883530028</v>
      </c>
      <c r="K572" s="374">
        <f t="shared" si="237"/>
        <v>126.88998200039956</v>
      </c>
      <c r="L572" s="375">
        <f t="shared" si="238"/>
        <v>1.562915402423998</v>
      </c>
      <c r="M572" s="363">
        <f t="shared" si="222"/>
        <v>4.0670357184590458</v>
      </c>
      <c r="N572" s="366">
        <f t="shared" si="223"/>
        <v>1.3223695629211487</v>
      </c>
      <c r="O572" s="367">
        <f t="shared" si="224"/>
        <v>1.9868245966861156</v>
      </c>
      <c r="P572" s="368">
        <f t="shared" si="225"/>
        <v>1.3811786570994002</v>
      </c>
      <c r="Q572" s="369">
        <f t="shared" si="226"/>
        <v>-29.47841174125292</v>
      </c>
      <c r="R572" s="370">
        <f t="shared" si="227"/>
        <v>-279.46528533130157</v>
      </c>
      <c r="S572" s="372">
        <f t="shared" si="228"/>
        <v>-99.465285331301573</v>
      </c>
      <c r="U572" s="345">
        <f t="shared" si="234"/>
        <v>98862</v>
      </c>
      <c r="V572" s="345">
        <f t="shared" si="235"/>
        <v>9773695044</v>
      </c>
      <c r="X572" s="371">
        <f t="shared" si="229"/>
        <v>5.7219095395458419</v>
      </c>
      <c r="Y572" s="372">
        <f t="shared" si="230"/>
        <v>-76.217598991717679</v>
      </c>
      <c r="AA572" s="371">
        <f t="shared" si="231"/>
        <v>22.300903987035241</v>
      </c>
      <c r="AB572" s="372">
        <f t="shared" si="232"/>
        <v>-203.24768633958385</v>
      </c>
      <c r="AD572">
        <f t="shared" si="236"/>
        <v>0</v>
      </c>
      <c r="AE572">
        <f t="shared" si="239"/>
        <v>0</v>
      </c>
    </row>
    <row r="573" spans="1:31" x14ac:dyDescent="0.2">
      <c r="A573" s="373">
        <v>100000</v>
      </c>
      <c r="B573" s="390">
        <f t="shared" si="233"/>
        <v>100</v>
      </c>
      <c r="C573" s="363">
        <f t="shared" si="214"/>
        <v>141.12653120158214</v>
      </c>
      <c r="D573" s="364">
        <f t="shared" si="215"/>
        <v>1.5637104276385683</v>
      </c>
      <c r="E573" s="364">
        <f t="shared" si="216"/>
        <v>1.2523933935483529</v>
      </c>
      <c r="F573" s="365">
        <f t="shared" si="217"/>
        <v>0.64604487200071159</v>
      </c>
      <c r="G573" s="364">
        <f t="shared" si="218"/>
        <v>3.1388585650864784</v>
      </c>
      <c r="H573" s="365">
        <f t="shared" si="219"/>
        <v>-1.2465577305317175</v>
      </c>
      <c r="I573" s="363">
        <f t="shared" si="220"/>
        <v>414818.57642732857</v>
      </c>
      <c r="J573" s="366">
        <f t="shared" si="221"/>
        <v>1.5707939161024715</v>
      </c>
      <c r="K573" s="374">
        <f t="shared" si="237"/>
        <v>128.35052176435752</v>
      </c>
      <c r="L573" s="375">
        <f t="shared" si="238"/>
        <v>1.563005083693038</v>
      </c>
      <c r="M573" s="363">
        <f t="shared" si="222"/>
        <v>4.1110361723281876</v>
      </c>
      <c r="N573" s="366">
        <f t="shared" si="223"/>
        <v>1.3250836296317943</v>
      </c>
      <c r="O573" s="367">
        <f t="shared" si="224"/>
        <v>2.0062374358576713</v>
      </c>
      <c r="P573" s="368">
        <f t="shared" si="225"/>
        <v>1.390378762217418</v>
      </c>
      <c r="Q573" s="369">
        <f t="shared" si="226"/>
        <v>-29.630760618348848</v>
      </c>
      <c r="R573" s="370">
        <f t="shared" si="227"/>
        <v>-280.03166224528803</v>
      </c>
      <c r="S573" s="372">
        <f t="shared" si="228"/>
        <v>-100.03166224528803</v>
      </c>
      <c r="U573" s="345">
        <f t="shared" si="234"/>
        <v>100000</v>
      </c>
      <c r="V573" s="345">
        <f t="shared" si="235"/>
        <v>10000000000</v>
      </c>
      <c r="X573" s="371">
        <f t="shared" si="229"/>
        <v>5.6284372054116538</v>
      </c>
      <c r="Y573" s="372">
        <f t="shared" si="230"/>
        <v>-76.367966791436487</v>
      </c>
      <c r="AA573" s="371">
        <f t="shared" si="231"/>
        <v>22.2420274440735</v>
      </c>
      <c r="AB573" s="372">
        <f t="shared" si="232"/>
        <v>-203.66369545385157</v>
      </c>
      <c r="AD573">
        <f t="shared" si="236"/>
        <v>0</v>
      </c>
      <c r="AE573">
        <f t="shared" si="239"/>
        <v>0</v>
      </c>
    </row>
    <row r="574" spans="1:31" x14ac:dyDescent="0.2">
      <c r="A574" s="373">
        <v>101165</v>
      </c>
      <c r="B574" s="390">
        <f t="shared" si="233"/>
        <v>101.16500000000001</v>
      </c>
      <c r="C574" s="363">
        <f t="shared" si="214"/>
        <v>142.77057321533914</v>
      </c>
      <c r="D574" s="364">
        <f t="shared" si="215"/>
        <v>1.5637920250383597</v>
      </c>
      <c r="E574" s="364">
        <f t="shared" si="216"/>
        <v>1.2577011440024239</v>
      </c>
      <c r="F574" s="365">
        <f t="shared" si="217"/>
        <v>0.65162149218480703</v>
      </c>
      <c r="G574" s="364">
        <f t="shared" si="218"/>
        <v>3.1717339511695641</v>
      </c>
      <c r="H574" s="365">
        <f t="shared" si="219"/>
        <v>-1.2500394167717546</v>
      </c>
      <c r="I574" s="363">
        <f t="shared" si="220"/>
        <v>419651.212842679</v>
      </c>
      <c r="J574" s="366">
        <f t="shared" si="221"/>
        <v>1.5707939438636209</v>
      </c>
      <c r="K574" s="374">
        <f t="shared" si="237"/>
        <v>129.84571509844665</v>
      </c>
      <c r="L574" s="375">
        <f t="shared" si="238"/>
        <v>1.5630948028371074</v>
      </c>
      <c r="M574" s="363">
        <f t="shared" si="222"/>
        <v>4.1561112702658018</v>
      </c>
      <c r="N574" s="366">
        <f t="shared" si="223"/>
        <v>1.3278025407069014</v>
      </c>
      <c r="O574" s="367">
        <f t="shared" si="224"/>
        <v>2.0262541008941928</v>
      </c>
      <c r="P574" s="368">
        <f t="shared" si="225"/>
        <v>1.3996972447488172</v>
      </c>
      <c r="Q574" s="369">
        <f t="shared" si="226"/>
        <v>-29.785082442903743</v>
      </c>
      <c r="R574" s="370">
        <f t="shared" si="227"/>
        <v>-280.60085947150304</v>
      </c>
      <c r="S574" s="372">
        <f t="shared" si="228"/>
        <v>-100.60085947150304</v>
      </c>
      <c r="U574" s="345">
        <f t="shared" si="234"/>
        <v>101165</v>
      </c>
      <c r="V574" s="345">
        <f t="shared" si="235"/>
        <v>10234357225</v>
      </c>
      <c r="X574" s="371">
        <f t="shared" si="229"/>
        <v>5.5337138048394987</v>
      </c>
      <c r="Y574" s="372">
        <f t="shared" si="230"/>
        <v>-76.518609983383641</v>
      </c>
      <c r="AA574" s="371">
        <f t="shared" si="231"/>
        <v>22.182429020090765</v>
      </c>
      <c r="AB574" s="372">
        <f t="shared" si="232"/>
        <v>-204.08224948811943</v>
      </c>
      <c r="AD574">
        <f t="shared" si="236"/>
        <v>0</v>
      </c>
      <c r="AE574">
        <f t="shared" si="239"/>
        <v>0</v>
      </c>
    </row>
    <row r="575" spans="1:31" x14ac:dyDescent="0.2">
      <c r="A575" s="373">
        <v>102330</v>
      </c>
      <c r="B575" s="390">
        <f t="shared" si="233"/>
        <v>102.33</v>
      </c>
      <c r="C575" s="363">
        <f t="shared" si="214"/>
        <v>144.41461615803868</v>
      </c>
      <c r="D575" s="364">
        <f t="shared" si="215"/>
        <v>1.5638717645986162</v>
      </c>
      <c r="E575" s="364">
        <f t="shared" si="216"/>
        <v>1.2630476778810287</v>
      </c>
      <c r="F575" s="365">
        <f t="shared" si="217"/>
        <v>0.65715107098935532</v>
      </c>
      <c r="G575" s="364">
        <f t="shared" si="218"/>
        <v>3.2046469963300472</v>
      </c>
      <c r="H575" s="365">
        <f t="shared" si="219"/>
        <v>-1.2534496269417845</v>
      </c>
      <c r="I575" s="363">
        <f t="shared" si="220"/>
        <v>424483.84925802978</v>
      </c>
      <c r="J575" s="366">
        <f t="shared" si="221"/>
        <v>1.5707939709926635</v>
      </c>
      <c r="K575" s="374">
        <f t="shared" si="237"/>
        <v>131.34090945393487</v>
      </c>
      <c r="L575" s="375">
        <f t="shared" si="238"/>
        <v>1.563182479243497</v>
      </c>
      <c r="M575" s="363">
        <f t="shared" si="222"/>
        <v>4.2012164327530659</v>
      </c>
      <c r="N575" s="366">
        <f t="shared" si="223"/>
        <v>1.3304630894725133</v>
      </c>
      <c r="O575" s="367">
        <f t="shared" si="224"/>
        <v>2.0464152560720708</v>
      </c>
      <c r="P575" s="368">
        <f t="shared" si="225"/>
        <v>1.4089164260674529</v>
      </c>
      <c r="Q575" s="369">
        <f t="shared" si="226"/>
        <v>-29.937777459403264</v>
      </c>
      <c r="R575" s="370">
        <f t="shared" si="227"/>
        <v>-281.15963379632683</v>
      </c>
      <c r="S575" s="372">
        <f t="shared" si="228"/>
        <v>-101.15963379632683</v>
      </c>
      <c r="U575" s="345">
        <f t="shared" si="234"/>
        <v>102330</v>
      </c>
      <c r="V575" s="345">
        <f t="shared" si="235"/>
        <v>10471428900</v>
      </c>
      <c r="X575" s="371">
        <f t="shared" si="229"/>
        <v>5.4399501879072041</v>
      </c>
      <c r="Y575" s="372">
        <f t="shared" si="230"/>
        <v>-76.666026265341046</v>
      </c>
      <c r="AA575" s="371">
        <f t="shared" si="231"/>
        <v>22.12349762052353</v>
      </c>
      <c r="AB575" s="372">
        <f t="shared" si="232"/>
        <v>-204.49360753098577</v>
      </c>
      <c r="AD575">
        <f t="shared" si="236"/>
        <v>0</v>
      </c>
      <c r="AE575">
        <f t="shared" si="239"/>
        <v>0</v>
      </c>
    </row>
    <row r="576" spans="1:31" x14ac:dyDescent="0.2">
      <c r="A576" s="373">
        <v>103520</v>
      </c>
      <c r="B576" s="390">
        <f t="shared" si="233"/>
        <v>103.52</v>
      </c>
      <c r="C576" s="363">
        <f t="shared" si="214"/>
        <v>146.09393991866114</v>
      </c>
      <c r="D576" s="364">
        <f t="shared" si="215"/>
        <v>1.5639513624553611</v>
      </c>
      <c r="E576" s="364">
        <f t="shared" si="216"/>
        <v>1.2685484750754221</v>
      </c>
      <c r="F576" s="365">
        <f t="shared" si="217"/>
        <v>0.66275101303990447</v>
      </c>
      <c r="G576" s="364">
        <f t="shared" si="218"/>
        <v>3.2383040159880605</v>
      </c>
      <c r="H576" s="365">
        <f t="shared" si="219"/>
        <v>-1.2568614092641406</v>
      </c>
      <c r="I576" s="363">
        <f t="shared" si="220"/>
        <v>429420.19031748705</v>
      </c>
      <c r="J576" s="366">
        <f t="shared" si="221"/>
        <v>1.5707939980734658</v>
      </c>
      <c r="K576" s="374">
        <f t="shared" si="237"/>
        <v>132.86819054386351</v>
      </c>
      <c r="L576" s="375">
        <f t="shared" si="238"/>
        <v>1.5632699998621526</v>
      </c>
      <c r="M576" s="363">
        <f t="shared" si="222"/>
        <v>4.2473195604408183</v>
      </c>
      <c r="N576" s="366">
        <f t="shared" si="223"/>
        <v>1.3331223720463656</v>
      </c>
      <c r="O576" s="367">
        <f t="shared" si="224"/>
        <v>2.0671578101657362</v>
      </c>
      <c r="P576" s="368">
        <f t="shared" si="225"/>
        <v>1.4182327400318651</v>
      </c>
      <c r="Q576" s="369">
        <f t="shared" si="226"/>
        <v>-30.092104359938165</v>
      </c>
      <c r="R576" s="370">
        <f t="shared" si="227"/>
        <v>-281.71996022923122</v>
      </c>
      <c r="S576" s="372">
        <f t="shared" si="228"/>
        <v>-101.71996022923122</v>
      </c>
      <c r="U576" s="345">
        <f t="shared" si="234"/>
        <v>103520</v>
      </c>
      <c r="V576" s="345">
        <f t="shared" si="235"/>
        <v>10716390400</v>
      </c>
      <c r="X576" s="371">
        <f t="shared" si="229"/>
        <v>5.3451467889910802</v>
      </c>
      <c r="Y576" s="372">
        <f t="shared" si="230"/>
        <v>-76.813378923070161</v>
      </c>
      <c r="AA576" s="371">
        <f t="shared" si="231"/>
        <v>22.063974118904753</v>
      </c>
      <c r="AB576" s="372">
        <f t="shared" si="232"/>
        <v>-204.90658130616112</v>
      </c>
      <c r="AD576">
        <f t="shared" si="236"/>
        <v>0</v>
      </c>
      <c r="AE576">
        <f t="shared" si="239"/>
        <v>0</v>
      </c>
    </row>
    <row r="577" spans="1:31" x14ac:dyDescent="0.2">
      <c r="A577" s="373">
        <v>104710</v>
      </c>
      <c r="B577" s="390">
        <f t="shared" si="233"/>
        <v>104.71</v>
      </c>
      <c r="C577" s="363">
        <f t="shared" si="214"/>
        <v>147.77326458387034</v>
      </c>
      <c r="D577" s="364">
        <f t="shared" si="215"/>
        <v>1.5640291511809512</v>
      </c>
      <c r="E577" s="364">
        <f t="shared" si="216"/>
        <v>1.2740887088999648</v>
      </c>
      <c r="F577" s="365">
        <f t="shared" si="217"/>
        <v>0.66830242646651195</v>
      </c>
      <c r="G577" s="364">
        <f t="shared" si="218"/>
        <v>3.2719979546053843</v>
      </c>
      <c r="H577" s="365">
        <f t="shared" si="219"/>
        <v>-1.2602029630361484</v>
      </c>
      <c r="I577" s="363">
        <f t="shared" si="220"/>
        <v>434356.53137694474</v>
      </c>
      <c r="J577" s="366">
        <f t="shared" si="221"/>
        <v>1.5707940245387366</v>
      </c>
      <c r="K577" s="374">
        <f t="shared" si="237"/>
        <v>134.39547262841205</v>
      </c>
      <c r="L577" s="375">
        <f t="shared" si="238"/>
        <v>1.5633555312972875</v>
      </c>
      <c r="M577" s="363">
        <f t="shared" si="222"/>
        <v>4.2934520790755446</v>
      </c>
      <c r="N577" s="366">
        <f t="shared" si="223"/>
        <v>1.3357245254844712</v>
      </c>
      <c r="O577" s="367">
        <f t="shared" si="224"/>
        <v>2.088050304947096</v>
      </c>
      <c r="P577" s="368">
        <f t="shared" si="225"/>
        <v>1.4274490884302875</v>
      </c>
      <c r="Q577" s="369">
        <f t="shared" si="226"/>
        <v>-30.244803296402662</v>
      </c>
      <c r="R577" s="370">
        <f t="shared" si="227"/>
        <v>-282.27005276550511</v>
      </c>
      <c r="S577" s="372">
        <f t="shared" si="228"/>
        <v>-102.27005276550511</v>
      </c>
      <c r="U577" s="345">
        <f t="shared" si="234"/>
        <v>104710</v>
      </c>
      <c r="V577" s="345">
        <f t="shared" si="235"/>
        <v>10964184100</v>
      </c>
      <c r="X577" s="371">
        <f t="shared" si="229"/>
        <v>5.2513075852701352</v>
      </c>
      <c r="Y577" s="372">
        <f t="shared" si="230"/>
        <v>-76.95757225898322</v>
      </c>
      <c r="AA577" s="371">
        <f t="shared" si="231"/>
        <v>22.005114386161203</v>
      </c>
      <c r="AB577" s="372">
        <f t="shared" si="232"/>
        <v>-205.31248050652189</v>
      </c>
      <c r="AD577">
        <f t="shared" si="236"/>
        <v>0</v>
      </c>
      <c r="AE577">
        <f t="shared" si="239"/>
        <v>0</v>
      </c>
    </row>
    <row r="578" spans="1:31" x14ac:dyDescent="0.2">
      <c r="A578" s="373">
        <v>105930</v>
      </c>
      <c r="B578" s="390">
        <f t="shared" si="233"/>
        <v>105.93</v>
      </c>
      <c r="C578" s="363">
        <f t="shared" si="214"/>
        <v>149.49492607217752</v>
      </c>
      <c r="D578" s="364">
        <f t="shared" si="215"/>
        <v>1.5641070866717122</v>
      </c>
      <c r="E578" s="364">
        <f t="shared" si="216"/>
        <v>1.2798090167680189</v>
      </c>
      <c r="F578" s="365">
        <f t="shared" si="217"/>
        <v>0.67394371633101224</v>
      </c>
      <c r="G578" s="364">
        <f t="shared" si="218"/>
        <v>3.3065784655327373</v>
      </c>
      <c r="H578" s="365">
        <f t="shared" si="219"/>
        <v>-1.2635580216775115</v>
      </c>
      <c r="I578" s="363">
        <f t="shared" si="220"/>
        <v>439417.31800933013</v>
      </c>
      <c r="J578" s="366">
        <f t="shared" si="221"/>
        <v>1.5707940510539118</v>
      </c>
      <c r="K578" s="374">
        <f t="shared" si="237"/>
        <v>135.96125862011388</v>
      </c>
      <c r="L578" s="375">
        <f t="shared" si="238"/>
        <v>1.5634412241247537</v>
      </c>
      <c r="M578" s="363">
        <f t="shared" si="222"/>
        <v>4.3407771331033196</v>
      </c>
      <c r="N578" s="366">
        <f t="shared" si="223"/>
        <v>1.3383348423115595</v>
      </c>
      <c r="O578" s="367">
        <f t="shared" si="224"/>
        <v>2.109624775570146</v>
      </c>
      <c r="P578" s="368">
        <f t="shared" si="225"/>
        <v>1.4367958660119708</v>
      </c>
      <c r="Q578" s="369">
        <f t="shared" si="226"/>
        <v>-30.399696907866716</v>
      </c>
      <c r="R578" s="370">
        <f t="shared" si="227"/>
        <v>-282.82370946747722</v>
      </c>
      <c r="S578" s="372">
        <f t="shared" si="228"/>
        <v>-102.82370946747722</v>
      </c>
      <c r="U578" s="345">
        <f t="shared" si="234"/>
        <v>105930</v>
      </c>
      <c r="V578" s="345">
        <f t="shared" si="235"/>
        <v>11221164900</v>
      </c>
      <c r="X578" s="371">
        <f t="shared" si="229"/>
        <v>5.1560847054717573</v>
      </c>
      <c r="Y578" s="372">
        <f t="shared" si="230"/>
        <v>-77.102224078391941</v>
      </c>
      <c r="AA578" s="371">
        <f t="shared" si="231"/>
        <v>21.945443654495524</v>
      </c>
      <c r="AB578" s="372">
        <f t="shared" si="232"/>
        <v>-205.7214853890853</v>
      </c>
      <c r="AD578">
        <f t="shared" si="236"/>
        <v>0</v>
      </c>
      <c r="AE578">
        <f t="shared" si="239"/>
        <v>0</v>
      </c>
    </row>
    <row r="579" spans="1:31" x14ac:dyDescent="0.2">
      <c r="A579" s="373">
        <v>107150</v>
      </c>
      <c r="B579" s="390">
        <f t="shared" si="233"/>
        <v>107.15</v>
      </c>
      <c r="C579" s="363">
        <f t="shared" si="214"/>
        <v>151.21658844783161</v>
      </c>
      <c r="D579" s="364">
        <f t="shared" si="215"/>
        <v>1.5641832475083928</v>
      </c>
      <c r="E579" s="364">
        <f t="shared" si="216"/>
        <v>1.2855696902633309</v>
      </c>
      <c r="F579" s="365">
        <f t="shared" si="217"/>
        <v>0.6795346252459773</v>
      </c>
      <c r="G579" s="364">
        <f t="shared" si="218"/>
        <v>3.3411954260100614</v>
      </c>
      <c r="H579" s="365">
        <f t="shared" si="219"/>
        <v>-1.2668435954821538</v>
      </c>
      <c r="I579" s="363">
        <f t="shared" si="220"/>
        <v>444478.10464171594</v>
      </c>
      <c r="J579" s="366">
        <f t="shared" si="221"/>
        <v>1.5707940769652884</v>
      </c>
      <c r="K579" s="374">
        <f t="shared" si="237"/>
        <v>137.52704558748053</v>
      </c>
      <c r="L579" s="375">
        <f t="shared" si="238"/>
        <v>1.5635249656753583</v>
      </c>
      <c r="M579" s="363">
        <f t="shared" si="222"/>
        <v>4.3881311260393732</v>
      </c>
      <c r="N579" s="366">
        <f t="shared" si="223"/>
        <v>1.3408888383848574</v>
      </c>
      <c r="O579" s="367">
        <f t="shared" si="224"/>
        <v>2.13135609286685</v>
      </c>
      <c r="P579" s="368">
        <f t="shared" si="225"/>
        <v>1.4460413157555589</v>
      </c>
      <c r="Q579" s="369">
        <f t="shared" si="226"/>
        <v>-30.552949921239524</v>
      </c>
      <c r="R579" s="370">
        <f t="shared" si="227"/>
        <v>-283.36724908351329</v>
      </c>
      <c r="S579" s="372">
        <f t="shared" si="228"/>
        <v>-103.36724908351329</v>
      </c>
      <c r="U579" s="345">
        <f t="shared" si="234"/>
        <v>107150</v>
      </c>
      <c r="V579" s="345">
        <f t="shared" si="235"/>
        <v>11481122500</v>
      </c>
      <c r="X579" s="371">
        <f t="shared" si="229"/>
        <v>5.0618372242943179</v>
      </c>
      <c r="Y579" s="372">
        <f t="shared" si="230"/>
        <v>-77.243760721639617</v>
      </c>
      <c r="AA579" s="371">
        <f t="shared" si="231"/>
        <v>21.886438122300159</v>
      </c>
      <c r="AB579" s="372">
        <f t="shared" si="232"/>
        <v>-206.12348836187371</v>
      </c>
      <c r="AD579">
        <f t="shared" si="236"/>
        <v>0</v>
      </c>
      <c r="AE579">
        <f t="shared" si="239"/>
        <v>0</v>
      </c>
    </row>
    <row r="580" spans="1:31" x14ac:dyDescent="0.2">
      <c r="A580" s="373">
        <v>108400</v>
      </c>
      <c r="B580" s="390">
        <f t="shared" si="233"/>
        <v>108.4</v>
      </c>
      <c r="C580" s="363">
        <f t="shared" si="214"/>
        <v>152.98058767256023</v>
      </c>
      <c r="D580" s="364">
        <f t="shared" si="215"/>
        <v>1.564259503156507</v>
      </c>
      <c r="E580" s="364">
        <f t="shared" si="216"/>
        <v>1.2915133215476586</v>
      </c>
      <c r="F580" s="365">
        <f t="shared" si="217"/>
        <v>0.68521110305682353</v>
      </c>
      <c r="G580" s="364">
        <f t="shared" si="218"/>
        <v>3.376700256004789</v>
      </c>
      <c r="H580" s="365">
        <f t="shared" si="219"/>
        <v>-1.2701400549265729</v>
      </c>
      <c r="I580" s="363">
        <f t="shared" si="220"/>
        <v>449663.33684702951</v>
      </c>
      <c r="J580" s="366">
        <f t="shared" si="221"/>
        <v>1.5707941029088957</v>
      </c>
      <c r="K580" s="374">
        <f t="shared" si="237"/>
        <v>139.13133649056309</v>
      </c>
      <c r="L580" s="375">
        <f t="shared" si="238"/>
        <v>1.5636088114921709</v>
      </c>
      <c r="M580" s="363">
        <f t="shared" si="222"/>
        <v>4.4366786075402338</v>
      </c>
      <c r="N580" s="366">
        <f t="shared" si="223"/>
        <v>1.3434490739653637</v>
      </c>
      <c r="O580" s="367">
        <f t="shared" si="224"/>
        <v>2.1537841184824091</v>
      </c>
      <c r="P580" s="368">
        <f t="shared" si="225"/>
        <v>1.4554109278954299</v>
      </c>
      <c r="Q580" s="369">
        <f t="shared" si="226"/>
        <v>-30.70830557245786</v>
      </c>
      <c r="R580" s="370">
        <f t="shared" si="227"/>
        <v>-283.91398060301646</v>
      </c>
      <c r="S580" s="372">
        <f t="shared" si="228"/>
        <v>-103.91398060301646</v>
      </c>
      <c r="U580" s="345">
        <f t="shared" si="234"/>
        <v>108400</v>
      </c>
      <c r="V580" s="345">
        <f t="shared" si="235"/>
        <v>11750560000</v>
      </c>
      <c r="X580" s="371">
        <f t="shared" si="229"/>
        <v>4.9662645003492889</v>
      </c>
      <c r="Y580" s="372">
        <f t="shared" si="230"/>
        <v>-77.38564889014998</v>
      </c>
      <c r="AA580" s="371">
        <f t="shared" si="231"/>
        <v>21.826655195026852</v>
      </c>
      <c r="AB580" s="372">
        <f t="shared" si="232"/>
        <v>-206.52833171286653</v>
      </c>
      <c r="AD580">
        <f t="shared" si="236"/>
        <v>0</v>
      </c>
      <c r="AE580">
        <f t="shared" si="239"/>
        <v>0</v>
      </c>
    </row>
    <row r="581" spans="1:31" x14ac:dyDescent="0.2">
      <c r="A581" s="373">
        <v>109650</v>
      </c>
      <c r="B581" s="390">
        <f t="shared" si="233"/>
        <v>109.65</v>
      </c>
      <c r="C581" s="363">
        <f t="shared" si="214"/>
        <v>154.74458776657812</v>
      </c>
      <c r="D581" s="364">
        <f t="shared" si="215"/>
        <v>1.564334020263203</v>
      </c>
      <c r="E581" s="364">
        <f t="shared" si="216"/>
        <v>1.2974981864438921</v>
      </c>
      <c r="F581" s="365">
        <f t="shared" si="217"/>
        <v>0.69083539384969705</v>
      </c>
      <c r="G581" s="364">
        <f t="shared" si="218"/>
        <v>3.4122410155726381</v>
      </c>
      <c r="H581" s="365">
        <f t="shared" si="219"/>
        <v>-1.2733678792055272</v>
      </c>
      <c r="I581" s="363">
        <f t="shared" si="220"/>
        <v>454848.56905234331</v>
      </c>
      <c r="J581" s="366">
        <f t="shared" si="221"/>
        <v>1.5707941282609932</v>
      </c>
      <c r="K581" s="374">
        <f t="shared" si="237"/>
        <v>140.73562834945619</v>
      </c>
      <c r="L581" s="375">
        <f t="shared" si="238"/>
        <v>1.5636907457372924</v>
      </c>
      <c r="M581" s="363">
        <f t="shared" si="222"/>
        <v>4.4852545409539371</v>
      </c>
      <c r="N581" s="366">
        <f t="shared" si="223"/>
        <v>1.3459538702511591</v>
      </c>
      <c r="O581" s="367">
        <f t="shared" si="224"/>
        <v>2.1763761245277151</v>
      </c>
      <c r="P581" s="368">
        <f t="shared" si="225"/>
        <v>1.464678005527708</v>
      </c>
      <c r="Q581" s="369">
        <f t="shared" si="226"/>
        <v>-30.86201052950635</v>
      </c>
      <c r="R581" s="370">
        <f t="shared" si="227"/>
        <v>-284.45072836094397</v>
      </c>
      <c r="S581" s="372">
        <f t="shared" si="228"/>
        <v>-104.45072836094397</v>
      </c>
      <c r="U581" s="345">
        <f t="shared" si="234"/>
        <v>109650</v>
      </c>
      <c r="V581" s="345">
        <f t="shared" si="235"/>
        <v>12023122500</v>
      </c>
      <c r="X581" s="371">
        <f t="shared" si="229"/>
        <v>4.8716769154258994</v>
      </c>
      <c r="Y581" s="372">
        <f t="shared" si="230"/>
        <v>-77.524470112149871</v>
      </c>
      <c r="AA581" s="371">
        <f t="shared" si="231"/>
        <v>21.767537822901755</v>
      </c>
      <c r="AB581" s="372">
        <f t="shared" si="232"/>
        <v>-206.92625824879408</v>
      </c>
      <c r="AD581">
        <f t="shared" si="236"/>
        <v>0</v>
      </c>
      <c r="AE581">
        <f t="shared" si="239"/>
        <v>0</v>
      </c>
    </row>
    <row r="582" spans="1:31" x14ac:dyDescent="0.2">
      <c r="A582" s="373">
        <v>110925</v>
      </c>
      <c r="B582" s="390">
        <f t="shared" si="233"/>
        <v>110.925</v>
      </c>
      <c r="C582" s="363">
        <f t="shared" si="214"/>
        <v>156.54386872754239</v>
      </c>
      <c r="D582" s="364">
        <f t="shared" si="215"/>
        <v>1.5644082976161515</v>
      </c>
      <c r="E582" s="364">
        <f t="shared" si="216"/>
        <v>1.3036446385395328</v>
      </c>
      <c r="F582" s="365">
        <f t="shared" si="217"/>
        <v>0.69651878640863796</v>
      </c>
      <c r="G582" s="364">
        <f t="shared" si="218"/>
        <v>3.4485284529168476</v>
      </c>
      <c r="H582" s="365">
        <f t="shared" si="219"/>
        <v>-1.27659168410498</v>
      </c>
      <c r="I582" s="363">
        <f t="shared" si="220"/>
        <v>460137.5059017638</v>
      </c>
      <c r="J582" s="366">
        <f t="shared" si="221"/>
        <v>1.5707941535314978</v>
      </c>
      <c r="K582" s="374">
        <f t="shared" si="237"/>
        <v>142.37200699669438</v>
      </c>
      <c r="L582" s="375">
        <f t="shared" si="238"/>
        <v>1.5637724163809381</v>
      </c>
      <c r="M582" s="363">
        <f t="shared" si="222"/>
        <v>4.5348303559935905</v>
      </c>
      <c r="N582" s="366">
        <f t="shared" si="223"/>
        <v>1.3484534644322774</v>
      </c>
      <c r="O582" s="367">
        <f t="shared" si="224"/>
        <v>2.199588598121204</v>
      </c>
      <c r="P582" s="368">
        <f t="shared" si="225"/>
        <v>1.4740267353089225</v>
      </c>
      <c r="Q582" s="369">
        <f t="shared" si="226"/>
        <v>-31.017125011412951</v>
      </c>
      <c r="R582" s="370">
        <f t="shared" si="227"/>
        <v>-284.98824117021201</v>
      </c>
      <c r="S582" s="372">
        <f t="shared" si="228"/>
        <v>-104.98824117021201</v>
      </c>
      <c r="U582" s="345">
        <f t="shared" si="234"/>
        <v>110925</v>
      </c>
      <c r="V582" s="345">
        <f t="shared" si="235"/>
        <v>12304355625</v>
      </c>
      <c r="X582" s="371">
        <f t="shared" si="229"/>
        <v>4.7761928923826815</v>
      </c>
      <c r="Y582" s="372">
        <f t="shared" si="230"/>
        <v>-77.663008374083972</v>
      </c>
      <c r="AA582" s="371">
        <f t="shared" si="231"/>
        <v>21.70790736403837</v>
      </c>
      <c r="AB582" s="372">
        <f t="shared" si="232"/>
        <v>-207.32523279612803</v>
      </c>
      <c r="AD582">
        <f t="shared" si="236"/>
        <v>0</v>
      </c>
      <c r="AE582">
        <f t="shared" si="239"/>
        <v>0</v>
      </c>
    </row>
    <row r="583" spans="1:31" x14ac:dyDescent="0.2">
      <c r="A583" s="373">
        <v>112200</v>
      </c>
      <c r="B583" s="390">
        <f t="shared" si="233"/>
        <v>112.2</v>
      </c>
      <c r="C583" s="363">
        <f t="shared" si="214"/>
        <v>158.34315053255065</v>
      </c>
      <c r="D583" s="364">
        <f t="shared" si="215"/>
        <v>1.5644808869155515</v>
      </c>
      <c r="E583" s="364">
        <f t="shared" si="216"/>
        <v>1.3098328036110816</v>
      </c>
      <c r="F583" s="365">
        <f t="shared" si="217"/>
        <v>0.70214865823164563</v>
      </c>
      <c r="G583" s="364">
        <f t="shared" si="218"/>
        <v>3.4848509839169388</v>
      </c>
      <c r="H583" s="365">
        <f t="shared" si="219"/>
        <v>-1.2797483179378542</v>
      </c>
      <c r="I583" s="363">
        <f t="shared" si="220"/>
        <v>465426.44275118451</v>
      </c>
      <c r="J583" s="366">
        <f t="shared" si="221"/>
        <v>1.5707941782276729</v>
      </c>
      <c r="K583" s="374">
        <f t="shared" si="237"/>
        <v>144.00838657198565</v>
      </c>
      <c r="L583" s="375">
        <f t="shared" si="238"/>
        <v>1.5638522309641318</v>
      </c>
      <c r="M583" s="363">
        <f t="shared" si="222"/>
        <v>4.5844338916266016</v>
      </c>
      <c r="N583" s="366">
        <f t="shared" si="223"/>
        <v>1.3508989824431721</v>
      </c>
      <c r="O583" s="367">
        <f t="shared" si="224"/>
        <v>2.2229710902125497</v>
      </c>
      <c r="P583" s="368">
        <f t="shared" si="225"/>
        <v>1.483272674378016</v>
      </c>
      <c r="Q583" s="369">
        <f t="shared" si="226"/>
        <v>-31.170593961208532</v>
      </c>
      <c r="R583" s="370">
        <f t="shared" si="227"/>
        <v>-285.5159936560101</v>
      </c>
      <c r="S583" s="372">
        <f t="shared" si="228"/>
        <v>-105.5159936560101</v>
      </c>
      <c r="U583" s="345">
        <f t="shared" si="234"/>
        <v>112200</v>
      </c>
      <c r="V583" s="345">
        <f t="shared" si="235"/>
        <v>12588840000</v>
      </c>
      <c r="X583" s="371">
        <f t="shared" si="229"/>
        <v>4.6816946629930722</v>
      </c>
      <c r="Y583" s="372">
        <f t="shared" si="230"/>
        <v>-77.798554611212353</v>
      </c>
      <c r="AA583" s="371">
        <f t="shared" si="231"/>
        <v>21.648936643632396</v>
      </c>
      <c r="AB583" s="372">
        <f t="shared" si="232"/>
        <v>-207.71743904479774</v>
      </c>
      <c r="AD583">
        <f t="shared" si="236"/>
        <v>0</v>
      </c>
      <c r="AE583">
        <f t="shared" si="239"/>
        <v>0</v>
      </c>
    </row>
    <row r="584" spans="1:31" x14ac:dyDescent="0.2">
      <c r="A584" s="373">
        <v>113510</v>
      </c>
      <c r="B584" s="390">
        <f t="shared" si="233"/>
        <v>113.51</v>
      </c>
      <c r="C584" s="363">
        <f t="shared" si="214"/>
        <v>160.19182523633103</v>
      </c>
      <c r="D584" s="364">
        <f t="shared" si="215"/>
        <v>1.5645537704505108</v>
      </c>
      <c r="E584" s="364">
        <f t="shared" si="216"/>
        <v>1.3162336677531816</v>
      </c>
      <c r="F584" s="365">
        <f t="shared" si="217"/>
        <v>0.70787775195777369</v>
      </c>
      <c r="G584" s="364">
        <f t="shared" si="218"/>
        <v>3.5222060147419132</v>
      </c>
      <c r="H584" s="365">
        <f t="shared" si="219"/>
        <v>-1.2829237614077151</v>
      </c>
      <c r="I584" s="363">
        <f t="shared" si="220"/>
        <v>470860.56610235432</v>
      </c>
      <c r="J584" s="366">
        <f t="shared" si="221"/>
        <v>1.5707942030239292</v>
      </c>
      <c r="K584" s="374">
        <f t="shared" si="237"/>
        <v>145.68968730466014</v>
      </c>
      <c r="L584" s="375">
        <f t="shared" si="238"/>
        <v>1.5639323690854452</v>
      </c>
      <c r="M584" s="363">
        <f t="shared" si="222"/>
        <v>4.6354270300430063</v>
      </c>
      <c r="N584" s="366">
        <f t="shared" si="223"/>
        <v>1.3533571035577145</v>
      </c>
      <c r="O584" s="367">
        <f t="shared" si="224"/>
        <v>2.2471722757723138</v>
      </c>
      <c r="P584" s="368">
        <f t="shared" si="225"/>
        <v>1.4926673477746242</v>
      </c>
      <c r="Q584" s="369">
        <f t="shared" si="226"/>
        <v>-31.326598382337938</v>
      </c>
      <c r="R584" s="370">
        <f t="shared" si="227"/>
        <v>-286.04838113904725</v>
      </c>
      <c r="S584" s="372">
        <f t="shared" si="228"/>
        <v>-106.04838113904725</v>
      </c>
      <c r="U584" s="345">
        <f t="shared" si="234"/>
        <v>113510</v>
      </c>
      <c r="V584" s="345">
        <f t="shared" si="235"/>
        <v>12884520100</v>
      </c>
      <c r="X584" s="371">
        <f t="shared" si="229"/>
        <v>4.585609169523809</v>
      </c>
      <c r="Y584" s="372">
        <f t="shared" si="230"/>
        <v>-77.934804421354798</v>
      </c>
      <c r="AA584" s="371">
        <f t="shared" si="231"/>
        <v>21.589017715972254</v>
      </c>
      <c r="AB584" s="372">
        <f t="shared" si="232"/>
        <v>-208.11357671769244</v>
      </c>
      <c r="AD584">
        <f t="shared" si="236"/>
        <v>0</v>
      </c>
      <c r="AE584">
        <f t="shared" si="239"/>
        <v>0</v>
      </c>
    </row>
    <row r="585" spans="1:31" x14ac:dyDescent="0.2">
      <c r="A585" s="373">
        <v>114820</v>
      </c>
      <c r="B585" s="390">
        <f t="shared" si="233"/>
        <v>114.82</v>
      </c>
      <c r="C585" s="363">
        <f t="shared" si="214"/>
        <v>162.04050077163566</v>
      </c>
      <c r="D585" s="364">
        <f t="shared" si="215"/>
        <v>1.5646249909694054</v>
      </c>
      <c r="E585" s="364">
        <f t="shared" si="216"/>
        <v>1.3226773150340685</v>
      </c>
      <c r="F585" s="365">
        <f t="shared" si="217"/>
        <v>0.7135512098894411</v>
      </c>
      <c r="G585" s="364">
        <f t="shared" si="218"/>
        <v>3.5595958158963876</v>
      </c>
      <c r="H585" s="365">
        <f t="shared" si="219"/>
        <v>-1.2860325263068326</v>
      </c>
      <c r="I585" s="363">
        <f t="shared" si="220"/>
        <v>476294.68945352442</v>
      </c>
      <c r="J585" s="366">
        <f t="shared" si="221"/>
        <v>1.5707942272543765</v>
      </c>
      <c r="K585" s="374">
        <f t="shared" si="237"/>
        <v>147.37098895162237</v>
      </c>
      <c r="L585" s="375">
        <f t="shared" si="238"/>
        <v>1.5640106786742916</v>
      </c>
      <c r="M585" s="363">
        <f t="shared" si="222"/>
        <v>4.6864475677492408</v>
      </c>
      <c r="N585" s="366">
        <f t="shared" si="223"/>
        <v>1.3557617166672449</v>
      </c>
      <c r="O585" s="367">
        <f t="shared" si="224"/>
        <v>2.2715524404929437</v>
      </c>
      <c r="P585" s="368">
        <f t="shared" si="225"/>
        <v>1.5019575028510344</v>
      </c>
      <c r="Q585" s="369">
        <f t="shared" si="226"/>
        <v>-31.480938956101319</v>
      </c>
      <c r="R585" s="370">
        <f t="shared" si="227"/>
        <v>-286.57109112708451</v>
      </c>
      <c r="S585" s="372">
        <f t="shared" si="228"/>
        <v>-106.57109112708451</v>
      </c>
      <c r="U585" s="345">
        <f t="shared" si="234"/>
        <v>114820</v>
      </c>
      <c r="V585" s="345">
        <f t="shared" si="235"/>
        <v>13183632400</v>
      </c>
      <c r="X585" s="371">
        <f t="shared" si="229"/>
        <v>4.4905242555571547</v>
      </c>
      <c r="Y585" s="372">
        <f t="shared" si="230"/>
        <v>-78.068093183411079</v>
      </c>
      <c r="AA585" s="371">
        <f t="shared" si="231"/>
        <v>21.529762056175525</v>
      </c>
      <c r="AB585" s="372">
        <f t="shared" si="232"/>
        <v>-208.50299794367345</v>
      </c>
      <c r="AD585">
        <f t="shared" si="236"/>
        <v>0</v>
      </c>
      <c r="AE585">
        <f t="shared" si="239"/>
        <v>0</v>
      </c>
    </row>
    <row r="586" spans="1:31" x14ac:dyDescent="0.2">
      <c r="A586" s="373">
        <v>116155</v>
      </c>
      <c r="B586" s="390">
        <f t="shared" si="233"/>
        <v>116.155</v>
      </c>
      <c r="C586" s="363">
        <f t="shared" si="214"/>
        <v>163.92445720075938</v>
      </c>
      <c r="D586" s="364">
        <f t="shared" si="215"/>
        <v>1.5646959179870752</v>
      </c>
      <c r="E586" s="364">
        <f t="shared" si="216"/>
        <v>1.3292873041383966</v>
      </c>
      <c r="F586" s="365">
        <f t="shared" si="217"/>
        <v>0.71927616373772862</v>
      </c>
      <c r="G586" s="364">
        <f t="shared" si="218"/>
        <v>3.5977338124779954</v>
      </c>
      <c r="H586" s="365">
        <f t="shared" si="219"/>
        <v>-1.2891341104884866</v>
      </c>
      <c r="I586" s="363">
        <f t="shared" si="220"/>
        <v>481832.51744880108</v>
      </c>
      <c r="J586" s="366">
        <f t="shared" si="221"/>
        <v>1.5707942513849487</v>
      </c>
      <c r="K586" s="374">
        <f t="shared" si="237"/>
        <v>149.08437741647816</v>
      </c>
      <c r="L586" s="375">
        <f t="shared" si="238"/>
        <v>1.5640886655620077</v>
      </c>
      <c r="M586" s="363">
        <f t="shared" si="222"/>
        <v>4.7384690521086563</v>
      </c>
      <c r="N586" s="366">
        <f t="shared" si="223"/>
        <v>1.3581589310700408</v>
      </c>
      <c r="O586" s="367">
        <f t="shared" si="224"/>
        <v>2.2965817964274247</v>
      </c>
      <c r="P586" s="368">
        <f t="shared" si="225"/>
        <v>1.511319437422507</v>
      </c>
      <c r="Q586" s="369">
        <f t="shared" si="226"/>
        <v>-31.636549976543566</v>
      </c>
      <c r="R586" s="370">
        <f t="shared" si="227"/>
        <v>-287.09412960639497</v>
      </c>
      <c r="S586" s="372">
        <f t="shared" si="228"/>
        <v>-107.09412960639497</v>
      </c>
      <c r="U586" s="345">
        <f t="shared" si="234"/>
        <v>116155</v>
      </c>
      <c r="V586" s="345">
        <f t="shared" si="235"/>
        <v>13491984025</v>
      </c>
      <c r="X586" s="371">
        <f t="shared" si="229"/>
        <v>4.3946339648325665</v>
      </c>
      <c r="Y586" s="372">
        <f t="shared" si="230"/>
        <v>-78.200976514487564</v>
      </c>
      <c r="AA586" s="371">
        <f t="shared" si="231"/>
        <v>21.470041326457867</v>
      </c>
      <c r="AB586" s="372">
        <f t="shared" si="232"/>
        <v>-208.89315309190744</v>
      </c>
      <c r="AD586">
        <f t="shared" si="236"/>
        <v>0</v>
      </c>
      <c r="AE586">
        <f t="shared" si="239"/>
        <v>0</v>
      </c>
    </row>
    <row r="587" spans="1:31" x14ac:dyDescent="0.2">
      <c r="A587" s="373">
        <v>117490</v>
      </c>
      <c r="B587" s="390">
        <f t="shared" si="233"/>
        <v>117.49</v>
      </c>
      <c r="C587" s="363">
        <f t="shared" si="214"/>
        <v>165.80841443578868</v>
      </c>
      <c r="D587" s="364">
        <f t="shared" si="215"/>
        <v>1.5647652332235793</v>
      </c>
      <c r="E587" s="364">
        <f t="shared" si="216"/>
        <v>1.3359404288060766</v>
      </c>
      <c r="F587" s="365">
        <f t="shared" si="217"/>
        <v>0.7249442800730288</v>
      </c>
      <c r="G587" s="364">
        <f t="shared" si="218"/>
        <v>3.6359056923772339</v>
      </c>
      <c r="H587" s="365">
        <f t="shared" si="219"/>
        <v>-1.2921705988560452</v>
      </c>
      <c r="I587" s="363">
        <f t="shared" si="220"/>
        <v>487370.34544407803</v>
      </c>
      <c r="J587" s="366">
        <f t="shared" si="221"/>
        <v>1.5707942749671453</v>
      </c>
      <c r="K587" s="374">
        <f t="shared" si="237"/>
        <v>150.79776676745368</v>
      </c>
      <c r="L587" s="375">
        <f t="shared" si="238"/>
        <v>1.5641648802501549</v>
      </c>
      <c r="M587" s="363">
        <f t="shared" si="222"/>
        <v>4.7905171752379143</v>
      </c>
      <c r="N587" s="366">
        <f t="shared" si="223"/>
        <v>1.3605040680842657</v>
      </c>
      <c r="O587" s="367">
        <f t="shared" si="224"/>
        <v>2.3217966255566096</v>
      </c>
      <c r="P587" s="368">
        <f t="shared" si="225"/>
        <v>1.5205768559514796</v>
      </c>
      <c r="Q587" s="369">
        <f t="shared" si="226"/>
        <v>-31.790506481050048</v>
      </c>
      <c r="R587" s="370">
        <f t="shared" si="227"/>
        <v>-287.60773193707325</v>
      </c>
      <c r="S587" s="372">
        <f t="shared" si="228"/>
        <v>-107.60773193707325</v>
      </c>
      <c r="U587" s="345">
        <f t="shared" si="234"/>
        <v>117490</v>
      </c>
      <c r="V587" s="345">
        <f t="shared" si="235"/>
        <v>13803900100</v>
      </c>
      <c r="X587" s="371">
        <f t="shared" si="229"/>
        <v>4.2997424884435782</v>
      </c>
      <c r="Y587" s="372">
        <f t="shared" si="230"/>
        <v>-78.330977539123708</v>
      </c>
      <c r="AA587" s="371">
        <f t="shared" si="231"/>
        <v>21.410976298340376</v>
      </c>
      <c r="AB587" s="372">
        <f t="shared" si="232"/>
        <v>-209.27675439794959</v>
      </c>
      <c r="AD587">
        <f t="shared" si="236"/>
        <v>0</v>
      </c>
      <c r="AE587">
        <f t="shared" si="239"/>
        <v>0</v>
      </c>
    </row>
    <row r="588" spans="1:31" x14ac:dyDescent="0.2">
      <c r="A588" s="373">
        <v>118860</v>
      </c>
      <c r="B588" s="390">
        <f t="shared" si="233"/>
        <v>118.86</v>
      </c>
      <c r="C588" s="363">
        <f t="shared" si="214"/>
        <v>167.74176461746339</v>
      </c>
      <c r="D588" s="364">
        <f t="shared" si="215"/>
        <v>1.5648347469479766</v>
      </c>
      <c r="E588" s="364">
        <f t="shared" si="216"/>
        <v>1.3428121542439413</v>
      </c>
      <c r="F588" s="365">
        <f t="shared" si="217"/>
        <v>0.73070241350660659</v>
      </c>
      <c r="G588" s="364">
        <f t="shared" si="218"/>
        <v>3.6751124533469808</v>
      </c>
      <c r="H588" s="365">
        <f t="shared" si="219"/>
        <v>-1.2952210868829248</v>
      </c>
      <c r="I588" s="363">
        <f t="shared" si="220"/>
        <v>493053.35994110414</v>
      </c>
      <c r="J588" s="366">
        <f t="shared" si="221"/>
        <v>1.5707942986168508</v>
      </c>
      <c r="K588" s="374">
        <f t="shared" si="237"/>
        <v>152.55607732845164</v>
      </c>
      <c r="L588" s="375">
        <f t="shared" si="238"/>
        <v>1.5642413131965192</v>
      </c>
      <c r="M588" s="363">
        <f t="shared" si="222"/>
        <v>4.843956650852741</v>
      </c>
      <c r="N588" s="366">
        <f t="shared" si="223"/>
        <v>1.3628582787692225</v>
      </c>
      <c r="O588" s="367">
        <f t="shared" si="224"/>
        <v>2.3478651841727016</v>
      </c>
      <c r="P588" s="368">
        <f t="shared" si="225"/>
        <v>1.5299703664405397</v>
      </c>
      <c r="Q588" s="369">
        <f t="shared" si="226"/>
        <v>-31.946816349286003</v>
      </c>
      <c r="R588" s="370">
        <f t="shared" si="227"/>
        <v>-288.12529503842256</v>
      </c>
      <c r="S588" s="372">
        <f t="shared" si="228"/>
        <v>-108.12529503842256</v>
      </c>
      <c r="U588" s="345">
        <f t="shared" si="234"/>
        <v>118860</v>
      </c>
      <c r="V588" s="345">
        <f t="shared" si="235"/>
        <v>14127699600</v>
      </c>
      <c r="X588" s="371">
        <f t="shared" si="229"/>
        <v>4.2033811837556225</v>
      </c>
      <c r="Y588" s="372">
        <f t="shared" si="230"/>
        <v>-78.461485945391345</v>
      </c>
      <c r="AA588" s="371">
        <f t="shared" si="231"/>
        <v>21.351027734792375</v>
      </c>
      <c r="AB588" s="372">
        <f t="shared" si="232"/>
        <v>-209.66380909303126</v>
      </c>
      <c r="AD588">
        <f t="shared" si="236"/>
        <v>0</v>
      </c>
      <c r="AE588">
        <f t="shared" si="239"/>
        <v>0</v>
      </c>
    </row>
    <row r="589" spans="1:31" x14ac:dyDescent="0.2">
      <c r="A589" s="373">
        <v>120230</v>
      </c>
      <c r="B589" s="390">
        <f t="shared" si="233"/>
        <v>120.23</v>
      </c>
      <c r="C589" s="363">
        <f t="shared" ref="C589:C613" si="240">SQRT(1+(A589/pole1)^2)</f>
        <v>169.67511559122121</v>
      </c>
      <c r="D589" s="364">
        <f t="shared" ref="D589:D613" si="241">ATAN(A589/pole1)</f>
        <v>1.5649026765343703</v>
      </c>
      <c r="E589" s="364">
        <f t="shared" ref="E589:E613" si="242">SQRT(1+(A589/Zero1)^2)</f>
        <v>1.3497279478963242</v>
      </c>
      <c r="F589" s="365">
        <f t="shared" ref="F589:F613" si="243">ATAN(A589/Zero1)</f>
        <v>0.73640172676179128</v>
      </c>
      <c r="G589" s="364">
        <f t="shared" ref="G589:G613" si="244">IF(VIN_nom&gt;Vout, 1, SQRT(1+(A589/z_RHP)^2))</f>
        <v>3.7143526908419582</v>
      </c>
      <c r="H589" s="365">
        <f t="shared" ref="H589:H613" si="245">IF(VIN_nom&gt;Vout, 0, -ATAN(A589/z_RHP))</f>
        <v>-1.2982071485161892</v>
      </c>
      <c r="I589" s="363">
        <f t="shared" ref="I589:I613" si="246">SQRT(1+(A589/Pole2)^2)</f>
        <v>498736.37443813041</v>
      </c>
      <c r="J589" s="366">
        <f t="shared" ref="J589:J613" si="247">ATAN(A589/Pole2)</f>
        <v>1.5707943217275879</v>
      </c>
      <c r="K589" s="374">
        <f t="shared" si="237"/>
        <v>154.31438876037149</v>
      </c>
      <c r="L589" s="375">
        <f t="shared" si="238"/>
        <v>1.5643160043365438</v>
      </c>
      <c r="M589" s="363">
        <f t="shared" ref="M589:M613" si="248">SQRT(1+(A589/pole4)^2)</f>
        <v>4.8974223871921012</v>
      </c>
      <c r="N589" s="366">
        <f t="shared" ref="N589:N613" si="249">ATAN(A589/pole4)</f>
        <v>1.3651610995959627</v>
      </c>
      <c r="O589" s="367">
        <f t="shared" ref="O589:O613" si="250">SQRT((1-(V589/pterm2))^2+(A589/pterm1)^2)</f>
        <v>2.3741287659409065</v>
      </c>
      <c r="P589" s="368">
        <f t="shared" ref="P589:P613" si="251">IF((ATAN((A589/pterm1)/(1-A589^2/pterm2))&gt;0),ATAN((A589/pterm1)/(1-A589^2/pterm2)),PI()+ATAN((A589/pterm1)/(1-A589^2/pterm2)))</f>
        <v>1.5392579251198717</v>
      </c>
      <c r="Q589" s="369">
        <f t="shared" ref="Q589:Q613" si="252">20*LOG10(((E589*K589*G589)/(C589*I589*O589*M589))*Adc)</f>
        <v>-32.101458398595668</v>
      </c>
      <c r="R589" s="370">
        <f t="shared" ref="R589:R613" si="253">((F589+L589+H589)-(D589+J589+P589+N589))*radconv</f>
        <v>-288.63353091662486</v>
      </c>
      <c r="S589" s="372">
        <f t="shared" ref="S589:S613" si="254">IF(R589&gt;0,R589,R589+180)</f>
        <v>-108.63353091662486</v>
      </c>
      <c r="U589" s="345">
        <f t="shared" si="234"/>
        <v>120230</v>
      </c>
      <c r="V589" s="345">
        <f t="shared" si="235"/>
        <v>14455252900</v>
      </c>
      <c r="X589" s="371">
        <f t="shared" ref="X589:X613" si="255">20*LOG10((K589/(I589*M589))*AEA)</f>
        <v>4.1080306708213179</v>
      </c>
      <c r="Y589" s="372">
        <f t="shared" ref="Y589:Y613" si="256">(L589-(J589+N589))*radconv</f>
        <v>-78.589149696941519</v>
      </c>
      <c r="AA589" s="371">
        <f t="shared" ref="AA589:AA613" si="257">20*LOG10((E589*G589/(C589*O589))*Acs*Am)</f>
        <v>21.291736198417016</v>
      </c>
      <c r="AB589" s="372">
        <f t="shared" ref="AB589:AB613" si="258">(F589+H589-(D589+P589))*radconv</f>
        <v>-210.04438121968334</v>
      </c>
      <c r="AD589">
        <f t="shared" si="236"/>
        <v>0</v>
      </c>
      <c r="AE589">
        <f t="shared" si="239"/>
        <v>0</v>
      </c>
    </row>
    <row r="590" spans="1:31" x14ac:dyDescent="0.2">
      <c r="A590" s="373">
        <v>126030</v>
      </c>
      <c r="B590" s="390">
        <f t="shared" ref="B590:B613" si="259">A590/1000</f>
        <v>126.03</v>
      </c>
      <c r="C590" s="363">
        <f t="shared" si="240"/>
        <v>177.86011329556362</v>
      </c>
      <c r="D590" s="364">
        <f t="shared" si="241"/>
        <v>1.5651739011138255</v>
      </c>
      <c r="E590" s="364">
        <f t="shared" si="242"/>
        <v>1.3794793591434511</v>
      </c>
      <c r="F590" s="365">
        <f t="shared" si="243"/>
        <v>0.75989089277326494</v>
      </c>
      <c r="G590" s="364">
        <f t="shared" si="244"/>
        <v>3.8808267176449642</v>
      </c>
      <c r="H590" s="365">
        <f t="shared" si="245"/>
        <v>-1.3101790271002145</v>
      </c>
      <c r="I590" s="363">
        <f t="shared" si="246"/>
        <v>522795.8518707995</v>
      </c>
      <c r="J590" s="366">
        <f t="shared" si="247"/>
        <v>1.5707944140023669</v>
      </c>
      <c r="K590" s="374">
        <f t="shared" si="237"/>
        <v>161.75834396313235</v>
      </c>
      <c r="L590" s="375">
        <f t="shared" si="238"/>
        <v>1.5646142261053366</v>
      </c>
      <c r="M590" s="363">
        <f t="shared" si="248"/>
        <v>5.1240456756934423</v>
      </c>
      <c r="N590" s="366">
        <f t="shared" si="249"/>
        <v>1.3743774843106651</v>
      </c>
      <c r="O590" s="367">
        <f t="shared" si="250"/>
        <v>2.4874762544654363</v>
      </c>
      <c r="P590" s="368">
        <f t="shared" si="251"/>
        <v>1.5774488605140753</v>
      </c>
      <c r="Q590" s="369">
        <f t="shared" si="252"/>
        <v>-32.738483523584208</v>
      </c>
      <c r="R590" s="370">
        <f t="shared" si="253"/>
        <v>-290.68833678015449</v>
      </c>
      <c r="S590" s="372">
        <f t="shared" si="254"/>
        <v>-110.68833678015449</v>
      </c>
      <c r="U590" s="345">
        <f t="shared" ref="U590:U613" si="260">IF(Q590&lt;0,A590,1000000000)</f>
        <v>126030</v>
      </c>
      <c r="V590" s="345">
        <f t="shared" ref="V590:V613" si="261">A590^2</f>
        <v>15883560900</v>
      </c>
      <c r="X590" s="371">
        <f t="shared" si="255"/>
        <v>3.7151056661791682</v>
      </c>
      <c r="Y590" s="372">
        <f t="shared" si="256"/>
        <v>-79.100128082291377</v>
      </c>
      <c r="AA590" s="371">
        <f t="shared" si="257"/>
        <v>21.047636078070624</v>
      </c>
      <c r="AB590" s="372">
        <f t="shared" si="258"/>
        <v>-211.58820869786317</v>
      </c>
      <c r="AD590">
        <f t="shared" ref="AD590:AD613" si="262">SUM((Q591&lt;0)*(Q590&gt;0))*A590</f>
        <v>0</v>
      </c>
      <c r="AE590">
        <f t="shared" si="239"/>
        <v>0</v>
      </c>
    </row>
    <row r="591" spans="1:31" x14ac:dyDescent="0.2">
      <c r="A591" s="373">
        <v>131830</v>
      </c>
      <c r="B591" s="390">
        <f t="shared" si="259"/>
        <v>131.83000000000001</v>
      </c>
      <c r="C591" s="363">
        <f t="shared" si="240"/>
        <v>186.04512293254578</v>
      </c>
      <c r="D591" s="364">
        <f t="shared" si="241"/>
        <v>1.5654212607922193</v>
      </c>
      <c r="E591" s="364">
        <f t="shared" si="242"/>
        <v>1.4099595266151919</v>
      </c>
      <c r="F591" s="365">
        <f t="shared" si="243"/>
        <v>0.78237646021529406</v>
      </c>
      <c r="G591" s="364">
        <f t="shared" si="244"/>
        <v>4.047811171812425</v>
      </c>
      <c r="H591" s="365">
        <f t="shared" si="245"/>
        <v>-1.3211646214704587</v>
      </c>
      <c r="I591" s="363">
        <f t="shared" si="246"/>
        <v>546855.32930347254</v>
      </c>
      <c r="J591" s="366">
        <f t="shared" si="247"/>
        <v>1.5707944981576933</v>
      </c>
      <c r="K591" s="374">
        <f t="shared" si="237"/>
        <v>169.20231228624615</v>
      </c>
      <c r="L591" s="375">
        <f t="shared" si="238"/>
        <v>1.5648862076712486</v>
      </c>
      <c r="M591" s="363">
        <f t="shared" si="248"/>
        <v>5.3510673230000299</v>
      </c>
      <c r="N591" s="366">
        <f t="shared" si="249"/>
        <v>1.3828125164924978</v>
      </c>
      <c r="O591" s="367">
        <f t="shared" si="250"/>
        <v>2.6043151661491248</v>
      </c>
      <c r="P591" s="368">
        <f t="shared" si="251"/>
        <v>1.613917193987928</v>
      </c>
      <c r="Q591" s="369">
        <f t="shared" si="252"/>
        <v>-33.348784032453231</v>
      </c>
      <c r="R591" s="370">
        <f t="shared" si="253"/>
        <v>-292.60080429032251</v>
      </c>
      <c r="S591" s="372">
        <f t="shared" si="254"/>
        <v>-112.60080429032251</v>
      </c>
      <c r="U591" s="345">
        <f t="shared" si="260"/>
        <v>131830</v>
      </c>
      <c r="V591" s="345">
        <f t="shared" si="261"/>
        <v>17379148900</v>
      </c>
      <c r="X591" s="371">
        <f t="shared" si="255"/>
        <v>3.338542931065418</v>
      </c>
      <c r="Y591" s="372">
        <f t="shared" si="256"/>
        <v>-79.567841252814759</v>
      </c>
      <c r="AA591" s="371">
        <f t="shared" si="257"/>
        <v>20.813898304315352</v>
      </c>
      <c r="AB591" s="372">
        <f t="shared" si="258"/>
        <v>-213.03296303750776</v>
      </c>
      <c r="AD591">
        <f t="shared" si="262"/>
        <v>0</v>
      </c>
      <c r="AE591">
        <f t="shared" si="239"/>
        <v>0</v>
      </c>
    </row>
    <row r="592" spans="1:31" x14ac:dyDescent="0.2">
      <c r="A592" s="373">
        <v>144540</v>
      </c>
      <c r="B592" s="390">
        <f t="shared" si="259"/>
        <v>144.54</v>
      </c>
      <c r="C592" s="363">
        <f t="shared" si="240"/>
        <v>203.98161841400699</v>
      </c>
      <c r="D592" s="364">
        <f t="shared" si="241"/>
        <v>1.5658939046383795</v>
      </c>
      <c r="E592" s="364">
        <f t="shared" si="242"/>
        <v>1.479079765191492</v>
      </c>
      <c r="F592" s="365">
        <f t="shared" si="243"/>
        <v>0.82834507167700566</v>
      </c>
      <c r="G592" s="364">
        <f t="shared" si="244"/>
        <v>4.4152391141552298</v>
      </c>
      <c r="H592" s="365">
        <f t="shared" si="245"/>
        <v>-1.3423255546658746</v>
      </c>
      <c r="I592" s="363">
        <f t="shared" si="246"/>
        <v>599578.77036715229</v>
      </c>
      <c r="J592" s="366">
        <f t="shared" si="247"/>
        <v>1.5707946589573256</v>
      </c>
      <c r="K592" s="374">
        <f t="shared" si="237"/>
        <v>185.51490861908397</v>
      </c>
      <c r="L592" s="375">
        <f t="shared" si="238"/>
        <v>1.5654058983369001</v>
      </c>
      <c r="M592" s="363">
        <f t="shared" si="248"/>
        <v>5.8497241315227644</v>
      </c>
      <c r="N592" s="366">
        <f t="shared" si="249"/>
        <v>1.3990043390074105</v>
      </c>
      <c r="O592" s="367">
        <f t="shared" si="250"/>
        <v>2.8725933870616469</v>
      </c>
      <c r="P592" s="368">
        <f t="shared" si="251"/>
        <v>1.6884093235363991</v>
      </c>
      <c r="Q592" s="369">
        <f t="shared" si="252"/>
        <v>-34.60339748291171</v>
      </c>
      <c r="R592" s="370">
        <f t="shared" si="253"/>
        <v>-296.37255038219763</v>
      </c>
      <c r="S592" s="372">
        <f t="shared" si="254"/>
        <v>-116.37255038219763</v>
      </c>
      <c r="U592" s="345">
        <f t="shared" si="260"/>
        <v>144540</v>
      </c>
      <c r="V592" s="345">
        <f t="shared" si="261"/>
        <v>20891811600</v>
      </c>
      <c r="X592" s="371">
        <f t="shared" si="255"/>
        <v>2.5646180134831447</v>
      </c>
      <c r="Y592" s="372">
        <f t="shared" si="256"/>
        <v>-80.465797477916325</v>
      </c>
      <c r="AA592" s="371">
        <f t="shared" si="257"/>
        <v>20.333209771439144</v>
      </c>
      <c r="AB592" s="372">
        <f t="shared" si="258"/>
        <v>-215.90675290428138</v>
      </c>
      <c r="AD592">
        <f t="shared" si="262"/>
        <v>0</v>
      </c>
      <c r="AE592">
        <f t="shared" si="239"/>
        <v>0</v>
      </c>
    </row>
    <row r="593" spans="1:31" x14ac:dyDescent="0.2">
      <c r="A593" s="373">
        <v>158490</v>
      </c>
      <c r="B593" s="390">
        <f t="shared" si="259"/>
        <v>158.49</v>
      </c>
      <c r="C593" s="363">
        <f t="shared" si="240"/>
        <v>223.6680595238048</v>
      </c>
      <c r="D593" s="364">
        <f t="shared" si="241"/>
        <v>1.5663254008447784</v>
      </c>
      <c r="E593" s="364">
        <f t="shared" si="242"/>
        <v>1.5582017217718349</v>
      </c>
      <c r="F593" s="365">
        <f t="shared" si="243"/>
        <v>0.87399823935091303</v>
      </c>
      <c r="G593" s="364">
        <f t="shared" si="244"/>
        <v>4.8204250425477175</v>
      </c>
      <c r="H593" s="365">
        <f t="shared" si="245"/>
        <v>-1.3618281990987779</v>
      </c>
      <c r="I593" s="363">
        <f t="shared" si="246"/>
        <v>657445.96177852317</v>
      </c>
      <c r="J593" s="366">
        <f t="shared" si="247"/>
        <v>1.5707948057573389</v>
      </c>
      <c r="K593" s="374">
        <f t="shared" si="237"/>
        <v>203.41902573785862</v>
      </c>
      <c r="L593" s="375">
        <f t="shared" si="238"/>
        <v>1.5658803459804409</v>
      </c>
      <c r="M593" s="363">
        <f t="shared" si="248"/>
        <v>6.3985069155633267</v>
      </c>
      <c r="N593" s="366">
        <f t="shared" si="249"/>
        <v>1.4138665415070841</v>
      </c>
      <c r="O593" s="367">
        <f t="shared" si="250"/>
        <v>3.186543798981293</v>
      </c>
      <c r="P593" s="368">
        <f t="shared" si="251"/>
        <v>1.7626546385397028</v>
      </c>
      <c r="Q593" s="369">
        <f t="shared" si="252"/>
        <v>-35.868193538436842</v>
      </c>
      <c r="R593" s="370">
        <f t="shared" si="253"/>
        <v>-299.97726792330604</v>
      </c>
      <c r="S593" s="372">
        <f t="shared" si="254"/>
        <v>-119.97726792330604</v>
      </c>
      <c r="U593" s="345">
        <f t="shared" si="260"/>
        <v>158490</v>
      </c>
      <c r="V593" s="345">
        <f t="shared" si="261"/>
        <v>25119080100</v>
      </c>
      <c r="X593" s="371">
        <f t="shared" si="255"/>
        <v>1.7857316149050952</v>
      </c>
      <c r="Y593" s="372">
        <f t="shared" si="256"/>
        <v>-81.29016351980475</v>
      </c>
      <c r="AA593" s="371">
        <f t="shared" si="257"/>
        <v>19.847300114492064</v>
      </c>
      <c r="AB593" s="372">
        <f t="shared" si="258"/>
        <v>-218.68710440350125</v>
      </c>
      <c r="AD593">
        <f t="shared" si="262"/>
        <v>0</v>
      </c>
      <c r="AE593">
        <f t="shared" si="239"/>
        <v>0</v>
      </c>
    </row>
    <row r="594" spans="1:31" x14ac:dyDescent="0.2">
      <c r="A594" s="373">
        <v>173780</v>
      </c>
      <c r="B594" s="390">
        <f t="shared" si="259"/>
        <v>173.78</v>
      </c>
      <c r="C594" s="363">
        <f t="shared" si="240"/>
        <v>245.24556773987439</v>
      </c>
      <c r="D594" s="364">
        <f t="shared" si="241"/>
        <v>1.5667187698371925</v>
      </c>
      <c r="E594" s="364">
        <f t="shared" si="242"/>
        <v>1.6482743512372733</v>
      </c>
      <c r="F594" s="365">
        <f t="shared" si="243"/>
        <v>0.91889979237733255</v>
      </c>
      <c r="G594" s="364">
        <f t="shared" si="244"/>
        <v>5.2662980400092829</v>
      </c>
      <c r="H594" s="365">
        <f t="shared" si="245"/>
        <v>-1.3797495726274074</v>
      </c>
      <c r="I594" s="363">
        <f t="shared" si="246"/>
        <v>720871.72211401048</v>
      </c>
      <c r="J594" s="366">
        <f t="shared" si="247"/>
        <v>1.570794939585537</v>
      </c>
      <c r="K594" s="374">
        <f t="shared" si="237"/>
        <v>223.04300860810858</v>
      </c>
      <c r="L594" s="375">
        <f t="shared" si="238"/>
        <v>1.5663128715345105</v>
      </c>
      <c r="M594" s="363">
        <f t="shared" si="248"/>
        <v>7.0013608765109607</v>
      </c>
      <c r="N594" s="366">
        <f t="shared" si="249"/>
        <v>1.4274768131791771</v>
      </c>
      <c r="O594" s="367">
        <f t="shared" si="250"/>
        <v>3.5544238898671559</v>
      </c>
      <c r="P594" s="368">
        <f t="shared" si="251"/>
        <v>1.8363300425208935</v>
      </c>
      <c r="Q594" s="369">
        <f t="shared" si="252"/>
        <v>-37.142699662290113</v>
      </c>
      <c r="R594" s="370">
        <f t="shared" si="253"/>
        <v>-303.43028250047172</v>
      </c>
      <c r="S594" s="372">
        <f t="shared" si="254"/>
        <v>-123.43028250047172</v>
      </c>
      <c r="U594" s="345">
        <f t="shared" si="260"/>
        <v>173780</v>
      </c>
      <c r="V594" s="345">
        <f t="shared" si="261"/>
        <v>30199488400</v>
      </c>
      <c r="X594" s="371">
        <f t="shared" si="255"/>
        <v>1.0036375639881716</v>
      </c>
      <c r="Y594" s="372">
        <f t="shared" si="256"/>
        <v>-82.045200424516082</v>
      </c>
      <c r="AA594" s="371">
        <f t="shared" si="257"/>
        <v>19.354888041555714</v>
      </c>
      <c r="AB594" s="372">
        <f t="shared" si="258"/>
        <v>-221.38508207595558</v>
      </c>
      <c r="AD594">
        <f t="shared" si="262"/>
        <v>0</v>
      </c>
      <c r="AE594">
        <f t="shared" si="239"/>
        <v>0</v>
      </c>
    </row>
    <row r="595" spans="1:31" x14ac:dyDescent="0.2">
      <c r="A595" s="373">
        <v>190550</v>
      </c>
      <c r="B595" s="390">
        <f t="shared" si="259"/>
        <v>190.55</v>
      </c>
      <c r="C595" s="363">
        <f t="shared" si="240"/>
        <v>268.91171343867609</v>
      </c>
      <c r="D595" s="364">
        <f t="shared" si="241"/>
        <v>1.5670776256196817</v>
      </c>
      <c r="E595" s="364">
        <f t="shared" si="242"/>
        <v>1.7504698447527092</v>
      </c>
      <c r="F595" s="365">
        <f t="shared" si="243"/>
        <v>0.96273763291478054</v>
      </c>
      <c r="G595" s="364">
        <f t="shared" si="244"/>
        <v>5.7569581463175723</v>
      </c>
      <c r="H595" s="365">
        <f t="shared" si="245"/>
        <v>-1.3962078921690391</v>
      </c>
      <c r="I595" s="363">
        <f t="shared" si="246"/>
        <v>790436.79738061037</v>
      </c>
      <c r="J595" s="366">
        <f t="shared" si="247"/>
        <v>1.5707950616716087</v>
      </c>
      <c r="K595" s="374">
        <f t="shared" si="237"/>
        <v>244.5665405194961</v>
      </c>
      <c r="L595" s="375">
        <f t="shared" si="238"/>
        <v>1.5667074486336865</v>
      </c>
      <c r="M595" s="363">
        <f t="shared" si="248"/>
        <v>7.6638134358339292</v>
      </c>
      <c r="N595" s="366">
        <f t="shared" si="249"/>
        <v>1.4399398513728874</v>
      </c>
      <c r="O595" s="367">
        <f t="shared" si="250"/>
        <v>3.9870187655003262</v>
      </c>
      <c r="P595" s="368">
        <f t="shared" si="251"/>
        <v>1.9092473293101277</v>
      </c>
      <c r="Q595" s="369">
        <f t="shared" si="252"/>
        <v>-38.429460403408193</v>
      </c>
      <c r="R595" s="370">
        <f t="shared" si="253"/>
        <v>-306.75144409542656</v>
      </c>
      <c r="S595" s="372">
        <f t="shared" si="254"/>
        <v>-126.75144409542656</v>
      </c>
      <c r="U595" s="345">
        <f t="shared" si="260"/>
        <v>190550</v>
      </c>
      <c r="V595" s="345">
        <f t="shared" si="261"/>
        <v>36309302500</v>
      </c>
      <c r="X595" s="371">
        <f t="shared" si="255"/>
        <v>0.21837366327810803</v>
      </c>
      <c r="Y595" s="372">
        <f t="shared" si="256"/>
        <v>-82.736679306257514</v>
      </c>
      <c r="AA595" s="371">
        <f t="shared" si="257"/>
        <v>18.853391201147694</v>
      </c>
      <c r="AB595" s="372">
        <f t="shared" si="258"/>
        <v>-224.01476478916899</v>
      </c>
      <c r="AD595">
        <f t="shared" si="262"/>
        <v>0</v>
      </c>
      <c r="AE595">
        <f t="shared" si="239"/>
        <v>0</v>
      </c>
    </row>
    <row r="596" spans="1:31" x14ac:dyDescent="0.2">
      <c r="A596" s="373">
        <v>208930</v>
      </c>
      <c r="B596" s="390">
        <f t="shared" si="259"/>
        <v>208.93</v>
      </c>
      <c r="C596" s="363">
        <f t="shared" si="240"/>
        <v>294.84995510658808</v>
      </c>
      <c r="D596" s="364">
        <f t="shared" si="241"/>
        <v>1.5674047647485108</v>
      </c>
      <c r="E596" s="364">
        <f t="shared" si="242"/>
        <v>1.8658924424926469</v>
      </c>
      <c r="F596" s="365">
        <f t="shared" si="243"/>
        <v>1.0051796263275456</v>
      </c>
      <c r="G596" s="364">
        <f t="shared" si="244"/>
        <v>6.2962222884803918</v>
      </c>
      <c r="H596" s="365">
        <f t="shared" si="245"/>
        <v>-1.4112954930154153</v>
      </c>
      <c r="I596" s="363">
        <f t="shared" si="246"/>
        <v>866680.45172767609</v>
      </c>
      <c r="J596" s="366">
        <f t="shared" si="247"/>
        <v>1.5707951729670955</v>
      </c>
      <c r="K596" s="374">
        <f t="shared" si="237"/>
        <v>268.15647054848915</v>
      </c>
      <c r="L596" s="375">
        <f t="shared" si="238"/>
        <v>1.5670671521240451</v>
      </c>
      <c r="M596" s="363">
        <f t="shared" si="248"/>
        <v>8.3910055332712776</v>
      </c>
      <c r="N596" s="366">
        <f t="shared" si="249"/>
        <v>1.451337177768423</v>
      </c>
      <c r="O596" s="367">
        <f t="shared" si="250"/>
        <v>4.4968269621389432</v>
      </c>
      <c r="P596" s="368">
        <f t="shared" si="251"/>
        <v>1.9810956819079355</v>
      </c>
      <c r="Q596" s="369">
        <f t="shared" si="252"/>
        <v>-39.729460091059742</v>
      </c>
      <c r="R596" s="370">
        <f t="shared" si="253"/>
        <v>-309.95191949918836</v>
      </c>
      <c r="S596" s="372">
        <f t="shared" si="254"/>
        <v>-129.95191949918836</v>
      </c>
      <c r="U596" s="345">
        <f t="shared" si="260"/>
        <v>208930</v>
      </c>
      <c r="V596" s="345">
        <f t="shared" si="261"/>
        <v>43651744900</v>
      </c>
      <c r="X596" s="371">
        <f t="shared" si="255"/>
        <v>-0.56902022059276702</v>
      </c>
      <c r="Y596" s="372">
        <f t="shared" si="256"/>
        <v>-83.369094892065391</v>
      </c>
      <c r="AA596" s="371">
        <f t="shared" si="257"/>
        <v>18.340785397367021</v>
      </c>
      <c r="AB596" s="372">
        <f t="shared" si="258"/>
        <v>-226.582824607123</v>
      </c>
      <c r="AD596">
        <f t="shared" si="262"/>
        <v>0</v>
      </c>
      <c r="AE596">
        <f t="shared" si="239"/>
        <v>0</v>
      </c>
    </row>
    <row r="597" spans="1:31" x14ac:dyDescent="0.2">
      <c r="A597" s="373">
        <v>229090</v>
      </c>
      <c r="B597" s="390">
        <f t="shared" si="259"/>
        <v>229.09</v>
      </c>
      <c r="C597" s="363">
        <f t="shared" si="240"/>
        <v>323.30020030648649</v>
      </c>
      <c r="D597" s="364">
        <f t="shared" si="241"/>
        <v>1.567703221397486</v>
      </c>
      <c r="E597" s="364">
        <f t="shared" si="242"/>
        <v>1.9958852799511428</v>
      </c>
      <c r="F597" s="365">
        <f t="shared" si="243"/>
        <v>1.046006875488114</v>
      </c>
      <c r="G597" s="364">
        <f t="shared" si="244"/>
        <v>6.889088566379578</v>
      </c>
      <c r="H597" s="365">
        <f t="shared" si="245"/>
        <v>-1.4251245917245188</v>
      </c>
      <c r="I597" s="363">
        <f t="shared" si="246"/>
        <v>950307.87673513184</v>
      </c>
      <c r="J597" s="366">
        <f t="shared" si="247"/>
        <v>1.5707952745043448</v>
      </c>
      <c r="K597" s="374">
        <f t="shared" si="237"/>
        <v>294.03098629137412</v>
      </c>
      <c r="L597" s="375">
        <f t="shared" si="238"/>
        <v>1.5673953181446667</v>
      </c>
      <c r="M597" s="363">
        <f t="shared" si="248"/>
        <v>9.1896674713217585</v>
      </c>
      <c r="N597" s="366">
        <f t="shared" si="249"/>
        <v>1.4617625506786911</v>
      </c>
      <c r="O597" s="367">
        <f t="shared" si="250"/>
        <v>5.0998137534443577</v>
      </c>
      <c r="P597" s="368">
        <f t="shared" si="251"/>
        <v>2.051653111394681</v>
      </c>
      <c r="Q597" s="369">
        <f t="shared" si="252"/>
        <v>-41.045633279548127</v>
      </c>
      <c r="R597" s="370">
        <f t="shared" si="253"/>
        <v>-313.04331581373202</v>
      </c>
      <c r="S597" s="372">
        <f t="shared" si="254"/>
        <v>-133.04331581373202</v>
      </c>
      <c r="U597" s="345">
        <f t="shared" si="260"/>
        <v>229090</v>
      </c>
      <c r="V597" s="345">
        <f t="shared" si="261"/>
        <v>52482228100</v>
      </c>
      <c r="X597" s="371">
        <f t="shared" si="255"/>
        <v>-1.3587461670314473</v>
      </c>
      <c r="Y597" s="372">
        <f t="shared" si="256"/>
        <v>-83.947628050029465</v>
      </c>
      <c r="AA597" s="371">
        <f t="shared" si="257"/>
        <v>17.814338155317323</v>
      </c>
      <c r="AB597" s="372">
        <f t="shared" si="258"/>
        <v>-229.09568776370253</v>
      </c>
      <c r="AD597">
        <f t="shared" si="262"/>
        <v>0</v>
      </c>
      <c r="AE597">
        <f t="shared" si="239"/>
        <v>0</v>
      </c>
    </row>
    <row r="598" spans="1:31" x14ac:dyDescent="0.2">
      <c r="A598" s="373">
        <v>251190</v>
      </c>
      <c r="B598" s="390">
        <f t="shared" si="259"/>
        <v>251.19</v>
      </c>
      <c r="C598" s="363">
        <f t="shared" si="240"/>
        <v>354.48824463978536</v>
      </c>
      <c r="D598" s="364">
        <f t="shared" si="241"/>
        <v>1.5679753550379036</v>
      </c>
      <c r="E598" s="364">
        <f t="shared" si="242"/>
        <v>2.1417196801065495</v>
      </c>
      <c r="F598" s="365">
        <f t="shared" si="243"/>
        <v>1.0849979527195703</v>
      </c>
      <c r="G598" s="364">
        <f t="shared" si="244"/>
        <v>7.5402705644165025</v>
      </c>
      <c r="H598" s="365">
        <f t="shared" si="245"/>
        <v>-1.4377832157481567</v>
      </c>
      <c r="I598" s="363">
        <f t="shared" si="246"/>
        <v>1041982.7821252587</v>
      </c>
      <c r="J598" s="366">
        <f t="shared" si="247"/>
        <v>1.5707953670861403</v>
      </c>
      <c r="K598" s="374">
        <f t="shared" si="237"/>
        <v>322.39544105276224</v>
      </c>
      <c r="L598" s="375">
        <f t="shared" si="238"/>
        <v>1.5676945409872285</v>
      </c>
      <c r="M598" s="363">
        <f t="shared" si="248"/>
        <v>10.066141442761069</v>
      </c>
      <c r="N598" s="366">
        <f t="shared" si="249"/>
        <v>1.47128926243943</v>
      </c>
      <c r="O598" s="367">
        <f t="shared" si="250"/>
        <v>5.8145496030655011</v>
      </c>
      <c r="P598" s="368">
        <f t="shared" si="251"/>
        <v>2.120590533923</v>
      </c>
      <c r="Q598" s="369">
        <f t="shared" si="252"/>
        <v>-42.379014651713895</v>
      </c>
      <c r="R598" s="370">
        <f t="shared" si="253"/>
        <v>-316.02869432961324</v>
      </c>
      <c r="S598" s="372">
        <f t="shared" si="254"/>
        <v>-136.02869432961324</v>
      </c>
      <c r="U598" s="345">
        <f t="shared" si="260"/>
        <v>251190</v>
      </c>
      <c r="V598" s="345">
        <f t="shared" si="261"/>
        <v>63096416100</v>
      </c>
      <c r="X598" s="371">
        <f t="shared" si="255"/>
        <v>-2.1500192539894538</v>
      </c>
      <c r="Y598" s="372">
        <f t="shared" si="256"/>
        <v>-84.476329525695036</v>
      </c>
      <c r="AA598" s="371">
        <f t="shared" si="257"/>
        <v>17.272229870109562</v>
      </c>
      <c r="AB598" s="372">
        <f t="shared" si="258"/>
        <v>-231.55236480391821</v>
      </c>
      <c r="AD598">
        <f t="shared" si="262"/>
        <v>0</v>
      </c>
      <c r="AE598">
        <f t="shared" si="239"/>
        <v>0</v>
      </c>
    </row>
    <row r="599" spans="1:31" x14ac:dyDescent="0.2">
      <c r="A599" s="373">
        <v>275420</v>
      </c>
      <c r="B599" s="390">
        <f t="shared" si="259"/>
        <v>275.42</v>
      </c>
      <c r="C599" s="363">
        <f t="shared" si="240"/>
        <v>388.68222060288855</v>
      </c>
      <c r="D599" s="364">
        <f t="shared" si="241"/>
        <v>1.568223528117187</v>
      </c>
      <c r="E599" s="364">
        <f t="shared" si="242"/>
        <v>2.3048517948538527</v>
      </c>
      <c r="F599" s="365">
        <f t="shared" si="243"/>
        <v>1.1220155380384502</v>
      </c>
      <c r="G599" s="364">
        <f t="shared" si="244"/>
        <v>8.2553723487610018</v>
      </c>
      <c r="H599" s="365">
        <f t="shared" si="245"/>
        <v>-1.4493648768742153</v>
      </c>
      <c r="I599" s="363">
        <f t="shared" si="246"/>
        <v>1142493.3231932663</v>
      </c>
      <c r="J599" s="366">
        <f t="shared" si="247"/>
        <v>1.5707954515162585</v>
      </c>
      <c r="K599" s="374">
        <f t="shared" ref="K599:K613" si="263">SQRT(1+(A599/Zero2)^2)</f>
        <v>353.49369212346852</v>
      </c>
      <c r="L599" s="375">
        <f t="shared" ref="L599:L613" si="264">ATAN(A599/Zero2)</f>
        <v>1.5679674182285757</v>
      </c>
      <c r="M599" s="363">
        <f t="shared" si="248"/>
        <v>11.027964975427336</v>
      </c>
      <c r="N599" s="366">
        <f t="shared" si="249"/>
        <v>1.4799930342914109</v>
      </c>
      <c r="O599" s="367">
        <f t="shared" si="250"/>
        <v>6.6639609524299726</v>
      </c>
      <c r="P599" s="368">
        <f t="shared" si="251"/>
        <v>2.1876285486208005</v>
      </c>
      <c r="Q599" s="369">
        <f t="shared" si="252"/>
        <v>-43.731250414653061</v>
      </c>
      <c r="R599" s="370">
        <f t="shared" si="253"/>
        <v>-318.90959732399176</v>
      </c>
      <c r="S599" s="372">
        <f t="shared" si="254"/>
        <v>-138.90959732399176</v>
      </c>
      <c r="U599" s="345">
        <f t="shared" si="260"/>
        <v>275420</v>
      </c>
      <c r="V599" s="345">
        <f t="shared" si="261"/>
        <v>75856176400</v>
      </c>
      <c r="X599" s="371">
        <f t="shared" si="255"/>
        <v>-2.9426732744904696</v>
      </c>
      <c r="Y599" s="372">
        <f t="shared" si="256"/>
        <v>-84.959389042445352</v>
      </c>
      <c r="AA599" s="371">
        <f t="shared" si="257"/>
        <v>16.712648127671411</v>
      </c>
      <c r="AB599" s="372">
        <f t="shared" si="258"/>
        <v>-233.9502082815464</v>
      </c>
      <c r="AD599">
        <f t="shared" si="262"/>
        <v>0</v>
      </c>
      <c r="AE599">
        <f t="shared" si="239"/>
        <v>0</v>
      </c>
    </row>
    <row r="600" spans="1:31" x14ac:dyDescent="0.2">
      <c r="A600" s="373">
        <v>302000</v>
      </c>
      <c r="B600" s="390">
        <f t="shared" si="259"/>
        <v>302</v>
      </c>
      <c r="C600" s="363">
        <f t="shared" si="240"/>
        <v>426.19259765641488</v>
      </c>
      <c r="D600" s="364">
        <f t="shared" si="241"/>
        <v>1.5684499676064303</v>
      </c>
      <c r="E600" s="364">
        <f t="shared" si="242"/>
        <v>2.4869356668360658</v>
      </c>
      <c r="F600" s="365">
        <f t="shared" si="243"/>
        <v>1.156985652631314</v>
      </c>
      <c r="G600" s="364">
        <f t="shared" si="244"/>
        <v>9.0408921445165689</v>
      </c>
      <c r="H600" s="365">
        <f t="shared" si="245"/>
        <v>-1.4599609872956791</v>
      </c>
      <c r="I600" s="363">
        <f t="shared" si="246"/>
        <v>1252752.1008072912</v>
      </c>
      <c r="J600" s="366">
        <f t="shared" si="247"/>
        <v>1.5707955285523718</v>
      </c>
      <c r="K600" s="374">
        <f t="shared" si="263"/>
        <v>387.60810085662837</v>
      </c>
      <c r="L600" s="375">
        <f t="shared" si="264"/>
        <v>1.5682163984932715</v>
      </c>
      <c r="M600" s="363">
        <f t="shared" si="248"/>
        <v>12.083873557278896</v>
      </c>
      <c r="N600" s="366">
        <f t="shared" si="249"/>
        <v>1.4879466574951385</v>
      </c>
      <c r="O600" s="367">
        <f t="shared" si="250"/>
        <v>7.6762369284572562</v>
      </c>
      <c r="P600" s="368">
        <f t="shared" si="251"/>
        <v>2.252521782994549</v>
      </c>
      <c r="Q600" s="369">
        <f t="shared" si="252"/>
        <v>-45.104091875071298</v>
      </c>
      <c r="R600" s="370">
        <f t="shared" si="253"/>
        <v>-321.68560017083206</v>
      </c>
      <c r="S600" s="372">
        <f t="shared" si="254"/>
        <v>-141.68560017083206</v>
      </c>
      <c r="U600" s="345">
        <f t="shared" si="260"/>
        <v>302000</v>
      </c>
      <c r="V600" s="345">
        <f t="shared" si="261"/>
        <v>91204000000</v>
      </c>
      <c r="X600" s="371">
        <f t="shared" si="255"/>
        <v>-3.7368950060536159</v>
      </c>
      <c r="Y600" s="372">
        <f t="shared" si="256"/>
        <v>-85.400836979855725</v>
      </c>
      <c r="AA600" s="371">
        <f t="shared" si="257"/>
        <v>16.134028398816323</v>
      </c>
      <c r="AB600" s="372">
        <f t="shared" si="258"/>
        <v>-236.28476319097638</v>
      </c>
      <c r="AD600">
        <f t="shared" si="262"/>
        <v>0</v>
      </c>
      <c r="AE600">
        <f t="shared" si="239"/>
        <v>0</v>
      </c>
    </row>
    <row r="601" spans="1:31" x14ac:dyDescent="0.2">
      <c r="A601" s="373">
        <v>331130</v>
      </c>
      <c r="B601" s="390">
        <f t="shared" si="259"/>
        <v>331.13</v>
      </c>
      <c r="C601" s="363">
        <f t="shared" si="240"/>
        <v>467.3016209237469</v>
      </c>
      <c r="D601" s="364">
        <f t="shared" si="241"/>
        <v>1.5686563796634216</v>
      </c>
      <c r="E601" s="364">
        <f t="shared" si="242"/>
        <v>2.6894828567459608</v>
      </c>
      <c r="F601" s="365">
        <f t="shared" si="243"/>
        <v>1.1898289193775138</v>
      </c>
      <c r="G601" s="364">
        <f t="shared" si="244"/>
        <v>9.9027441244768433</v>
      </c>
      <c r="H601" s="365">
        <f t="shared" si="245"/>
        <v>-1.4696417984625572</v>
      </c>
      <c r="I601" s="363">
        <f t="shared" si="246"/>
        <v>1373588.7521201856</v>
      </c>
      <c r="J601" s="366">
        <f t="shared" si="247"/>
        <v>1.5707955987749573</v>
      </c>
      <c r="K601" s="374">
        <f t="shared" si="263"/>
        <v>424.99535956648339</v>
      </c>
      <c r="L601" s="375">
        <f t="shared" si="264"/>
        <v>1.5684433577559769</v>
      </c>
      <c r="M601" s="363">
        <f t="shared" si="248"/>
        <v>13.241813809217172</v>
      </c>
      <c r="N601" s="366">
        <f t="shared" si="249"/>
        <v>1.4952060061837467</v>
      </c>
      <c r="O601" s="367">
        <f t="shared" si="250"/>
        <v>8.8837523684910735</v>
      </c>
      <c r="P601" s="368">
        <f t="shared" si="251"/>
        <v>2.3149512549809028</v>
      </c>
      <c r="Q601" s="369">
        <f t="shared" si="252"/>
        <v>-46.496742027498648</v>
      </c>
      <c r="R601" s="370">
        <f t="shared" si="253"/>
        <v>-324.35019128523135</v>
      </c>
      <c r="S601" s="372">
        <f t="shared" si="254"/>
        <v>-144.35019128523135</v>
      </c>
      <c r="U601" s="345">
        <f t="shared" si="260"/>
        <v>331130</v>
      </c>
      <c r="V601" s="345">
        <f t="shared" si="261"/>
        <v>109647076900</v>
      </c>
      <c r="X601" s="371">
        <f t="shared" si="255"/>
        <v>-4.5317259638402208</v>
      </c>
      <c r="Y601" s="372">
        <f t="shared" si="256"/>
        <v>-85.803767237770572</v>
      </c>
      <c r="AA601" s="371">
        <f t="shared" si="257"/>
        <v>15.536209204175574</v>
      </c>
      <c r="AB601" s="372">
        <f t="shared" si="258"/>
        <v>-238.54642404746082</v>
      </c>
      <c r="AD601">
        <f t="shared" si="262"/>
        <v>0</v>
      </c>
      <c r="AE601">
        <f t="shared" si="239"/>
        <v>0</v>
      </c>
    </row>
    <row r="602" spans="1:31" x14ac:dyDescent="0.2">
      <c r="A602" s="373">
        <v>363080</v>
      </c>
      <c r="B602" s="390">
        <f t="shared" si="259"/>
        <v>363.08</v>
      </c>
      <c r="C602" s="363">
        <f t="shared" si="240"/>
        <v>512.39032151106892</v>
      </c>
      <c r="D602" s="364">
        <f t="shared" si="241"/>
        <v>1.5688446883801299</v>
      </c>
      <c r="E602" s="364">
        <f t="shared" si="242"/>
        <v>2.9144858293466891</v>
      </c>
      <c r="F602" s="365">
        <f t="shared" si="243"/>
        <v>1.2205664968916632</v>
      </c>
      <c r="G602" s="364">
        <f t="shared" si="244"/>
        <v>10.848919125971859</v>
      </c>
      <c r="H602" s="365">
        <f t="shared" si="245"/>
        <v>-1.4784902204626458</v>
      </c>
      <c r="I602" s="363">
        <f t="shared" si="246"/>
        <v>1506123.2872883</v>
      </c>
      <c r="J602" s="366">
        <f t="shared" si="247"/>
        <v>1.5707956628386266</v>
      </c>
      <c r="K602" s="374">
        <f t="shared" si="263"/>
        <v>466.00200308574813</v>
      </c>
      <c r="L602" s="375">
        <f t="shared" si="264"/>
        <v>1.5686504116252822</v>
      </c>
      <c r="M602" s="363">
        <f t="shared" si="248"/>
        <v>14.512519412471606</v>
      </c>
      <c r="N602" s="366">
        <f t="shared" si="249"/>
        <v>1.5018356586195345</v>
      </c>
      <c r="O602" s="367">
        <f t="shared" si="250"/>
        <v>10.327620922724824</v>
      </c>
      <c r="P602" s="368">
        <f t="shared" si="251"/>
        <v>2.3747446663446752</v>
      </c>
      <c r="Q602" s="369">
        <f t="shared" si="252"/>
        <v>-47.91032066325792</v>
      </c>
      <c r="R602" s="370">
        <f t="shared" si="253"/>
        <v>-326.90072593057533</v>
      </c>
      <c r="S602" s="372">
        <f t="shared" si="254"/>
        <v>-146.90072593057533</v>
      </c>
      <c r="U602" s="345">
        <f t="shared" si="260"/>
        <v>363080</v>
      </c>
      <c r="V602" s="345">
        <f t="shared" si="261"/>
        <v>131827086400</v>
      </c>
      <c r="X602" s="371">
        <f t="shared" si="255"/>
        <v>-5.3276367418309922</v>
      </c>
      <c r="Y602" s="372">
        <f t="shared" si="256"/>
        <v>-86.171758700135143</v>
      </c>
      <c r="AA602" s="371">
        <f t="shared" si="257"/>
        <v>14.918541346407068</v>
      </c>
      <c r="AB602" s="372">
        <f t="shared" si="258"/>
        <v>-240.72896723044019</v>
      </c>
      <c r="AD602">
        <f t="shared" si="262"/>
        <v>0</v>
      </c>
      <c r="AE602">
        <f t="shared" ref="AE602:AE613" si="265">IF(AD602&gt;0,S602,0)</f>
        <v>0</v>
      </c>
    </row>
    <row r="603" spans="1:31" x14ac:dyDescent="0.2">
      <c r="A603" s="373">
        <v>398110</v>
      </c>
      <c r="B603" s="390">
        <f t="shared" si="259"/>
        <v>398.11</v>
      </c>
      <c r="C603" s="363">
        <f t="shared" si="240"/>
        <v>561.8256184275981</v>
      </c>
      <c r="D603" s="364">
        <f t="shared" si="241"/>
        <v>1.5690164141401235</v>
      </c>
      <c r="E603" s="364">
        <f t="shared" si="242"/>
        <v>3.1638702401336358</v>
      </c>
      <c r="F603" s="365">
        <f t="shared" si="243"/>
        <v>1.2492135558742228</v>
      </c>
      <c r="G603" s="364">
        <f t="shared" si="244"/>
        <v>11.887119237226493</v>
      </c>
      <c r="H603" s="365">
        <f t="shared" si="245"/>
        <v>-1.4865721135467211</v>
      </c>
      <c r="I603" s="363">
        <f t="shared" si="246"/>
        <v>1651434.2346103417</v>
      </c>
      <c r="J603" s="366">
        <f t="shared" si="247"/>
        <v>1.5707957212606409</v>
      </c>
      <c r="K603" s="374">
        <f t="shared" si="263"/>
        <v>510.96173180647395</v>
      </c>
      <c r="L603" s="375">
        <f t="shared" si="264"/>
        <v>1.5688392318186546</v>
      </c>
      <c r="M603" s="363">
        <f t="shared" si="248"/>
        <v>15.906332101378183</v>
      </c>
      <c r="N603" s="366">
        <f t="shared" si="249"/>
        <v>1.5078867949282981</v>
      </c>
      <c r="O603" s="367">
        <f t="shared" si="250"/>
        <v>12.055766217860945</v>
      </c>
      <c r="P603" s="368">
        <f t="shared" si="251"/>
        <v>2.4316979147433968</v>
      </c>
      <c r="Q603" s="369">
        <f t="shared" si="252"/>
        <v>-49.343834406784943</v>
      </c>
      <c r="R603" s="370">
        <f t="shared" si="253"/>
        <v>-329.33133796538971</v>
      </c>
      <c r="S603" s="372">
        <f t="shared" si="254"/>
        <v>-149.33133796538971</v>
      </c>
      <c r="U603" s="345">
        <f t="shared" si="260"/>
        <v>398110</v>
      </c>
      <c r="V603" s="345">
        <f t="shared" si="261"/>
        <v>158491572100</v>
      </c>
      <c r="X603" s="371">
        <f t="shared" si="255"/>
        <v>-6.1241847460827339</v>
      </c>
      <c r="Y603" s="372">
        <f t="shared" si="256"/>
        <v>-86.507648019437283</v>
      </c>
      <c r="AA603" s="371">
        <f t="shared" si="257"/>
        <v>14.281575607131794</v>
      </c>
      <c r="AB603" s="372">
        <f t="shared" si="258"/>
        <v>-242.82368994595251</v>
      </c>
      <c r="AD603">
        <f t="shared" si="262"/>
        <v>0</v>
      </c>
      <c r="AE603">
        <f t="shared" si="265"/>
        <v>0</v>
      </c>
    </row>
    <row r="604" spans="1:31" x14ac:dyDescent="0.2">
      <c r="A604" s="373">
        <v>436520</v>
      </c>
      <c r="B604" s="390">
        <f t="shared" si="259"/>
        <v>436.52</v>
      </c>
      <c r="C604" s="363">
        <f t="shared" si="240"/>
        <v>616.03087990109509</v>
      </c>
      <c r="D604" s="364">
        <f t="shared" si="241"/>
        <v>1.5691730308339176</v>
      </c>
      <c r="E604" s="364">
        <f t="shared" si="242"/>
        <v>3.4398467226158846</v>
      </c>
      <c r="F604" s="365">
        <f t="shared" si="243"/>
        <v>1.2758268683922676</v>
      </c>
      <c r="G604" s="364">
        <f t="shared" si="244"/>
        <v>13.026237223169812</v>
      </c>
      <c r="H604" s="365">
        <f t="shared" si="245"/>
        <v>-1.4939525827851239</v>
      </c>
      <c r="I604" s="363">
        <f t="shared" si="246"/>
        <v>1810766.0498155891</v>
      </c>
      <c r="J604" s="366">
        <f t="shared" si="247"/>
        <v>1.5707957745424397</v>
      </c>
      <c r="K604" s="374">
        <f t="shared" si="263"/>
        <v>560.25958479672283</v>
      </c>
      <c r="L604" s="375">
        <f t="shared" si="264"/>
        <v>1.5690114389355772</v>
      </c>
      <c r="M604" s="363">
        <f t="shared" si="248"/>
        <v>17.435189225364788</v>
      </c>
      <c r="N604" s="366">
        <f t="shared" si="249"/>
        <v>1.5134095630801274</v>
      </c>
      <c r="O604" s="367">
        <f t="shared" si="250"/>
        <v>14.126521367436995</v>
      </c>
      <c r="P604" s="368">
        <f t="shared" si="251"/>
        <v>2.4856836315224502</v>
      </c>
      <c r="Q604" s="369">
        <f t="shared" si="252"/>
        <v>-50.796540909127842</v>
      </c>
      <c r="R604" s="370">
        <f t="shared" si="253"/>
        <v>-331.63807203919913</v>
      </c>
      <c r="S604" s="372">
        <f t="shared" si="254"/>
        <v>-151.63807203919913</v>
      </c>
      <c r="U604" s="345">
        <f t="shared" si="260"/>
        <v>436520</v>
      </c>
      <c r="V604" s="345">
        <f t="shared" si="261"/>
        <v>190549710400</v>
      </c>
      <c r="X604" s="371">
        <f t="shared" si="255"/>
        <v>-6.9213199348662453</v>
      </c>
      <c r="Y604" s="372">
        <f t="shared" si="256"/>
        <v>-86.814215637937068</v>
      </c>
      <c r="AA604" s="371">
        <f t="shared" si="257"/>
        <v>13.626004293572402</v>
      </c>
      <c r="AB604" s="372">
        <f t="shared" si="258"/>
        <v>-244.82385640126205</v>
      </c>
      <c r="AD604">
        <f t="shared" si="262"/>
        <v>0</v>
      </c>
      <c r="AE604">
        <f t="shared" si="265"/>
        <v>0</v>
      </c>
    </row>
    <row r="605" spans="1:31" x14ac:dyDescent="0.2">
      <c r="A605" s="373">
        <v>478630</v>
      </c>
      <c r="B605" s="390">
        <f t="shared" si="259"/>
        <v>478.63</v>
      </c>
      <c r="C605" s="363">
        <f t="shared" si="240"/>
        <v>675.45769883882372</v>
      </c>
      <c r="D605" s="364">
        <f t="shared" si="241"/>
        <v>1.5693158486435308</v>
      </c>
      <c r="E605" s="364">
        <f t="shared" si="242"/>
        <v>3.7447737512059711</v>
      </c>
      <c r="F605" s="365">
        <f t="shared" si="243"/>
        <v>1.3004773644956571</v>
      </c>
      <c r="G605" s="364">
        <f t="shared" si="244"/>
        <v>14.27576435585175</v>
      </c>
      <c r="H605" s="365">
        <f t="shared" si="245"/>
        <v>-1.5006901250122824</v>
      </c>
      <c r="I605" s="363">
        <f t="shared" si="246"/>
        <v>1985446.1523486055</v>
      </c>
      <c r="J605" s="366">
        <f t="shared" si="247"/>
        <v>1.5707958231297638</v>
      </c>
      <c r="K605" s="374">
        <f t="shared" si="263"/>
        <v>614.30627053978424</v>
      </c>
      <c r="L605" s="375">
        <f t="shared" si="264"/>
        <v>1.5691684735731275</v>
      </c>
      <c r="M605" s="363">
        <f t="shared" si="248"/>
        <v>19.111828359017796</v>
      </c>
      <c r="N605" s="366">
        <f t="shared" si="249"/>
        <v>1.5184488047384739</v>
      </c>
      <c r="O605" s="367">
        <f t="shared" si="250"/>
        <v>16.60951652831886</v>
      </c>
      <c r="P605" s="368">
        <f t="shared" si="251"/>
        <v>2.5366122515261136</v>
      </c>
      <c r="Q605" s="369">
        <f t="shared" si="252"/>
        <v>-52.267065728007232</v>
      </c>
      <c r="R605" s="370">
        <f t="shared" si="253"/>
        <v>-333.81764586718401</v>
      </c>
      <c r="S605" s="372">
        <f t="shared" si="254"/>
        <v>-153.81764586718401</v>
      </c>
      <c r="U605" s="345">
        <f t="shared" si="260"/>
        <v>478630</v>
      </c>
      <c r="V605" s="345">
        <f t="shared" si="261"/>
        <v>229086676900</v>
      </c>
      <c r="X605" s="371">
        <f t="shared" si="255"/>
        <v>-7.7188336872746515</v>
      </c>
      <c r="Y605" s="372">
        <f t="shared" si="256"/>
        <v>-87.093948279106073</v>
      </c>
      <c r="AA605" s="371">
        <f t="shared" si="257"/>
        <v>12.952993227101421</v>
      </c>
      <c r="AB605" s="372">
        <f t="shared" si="258"/>
        <v>-246.72369758807798</v>
      </c>
      <c r="AD605">
        <f t="shared" si="262"/>
        <v>0</v>
      </c>
      <c r="AE605">
        <f t="shared" si="265"/>
        <v>0</v>
      </c>
    </row>
    <row r="606" spans="1:31" x14ac:dyDescent="0.2">
      <c r="A606" s="373">
        <v>524810</v>
      </c>
      <c r="B606" s="390">
        <f t="shared" si="259"/>
        <v>524.80999999999995</v>
      </c>
      <c r="C606" s="363">
        <f t="shared" si="240"/>
        <v>740.62822967039131</v>
      </c>
      <c r="D606" s="364">
        <f t="shared" si="241"/>
        <v>1.5694461213020712</v>
      </c>
      <c r="E606" s="364">
        <f t="shared" si="242"/>
        <v>4.0813777825414803</v>
      </c>
      <c r="F606" s="365">
        <f t="shared" si="243"/>
        <v>1.3232608537302757</v>
      </c>
      <c r="G606" s="364">
        <f t="shared" si="244"/>
        <v>15.646680574639218</v>
      </c>
      <c r="H606" s="365">
        <f t="shared" si="245"/>
        <v>-1.5068414179096656</v>
      </c>
      <c r="I606" s="363">
        <f t="shared" si="246"/>
        <v>2177009.3709421665</v>
      </c>
      <c r="J606" s="366">
        <f t="shared" si="247"/>
        <v>1.5707958674491476</v>
      </c>
      <c r="K606" s="374">
        <f t="shared" si="263"/>
        <v>673.57667086304389</v>
      </c>
      <c r="L606" s="375">
        <f t="shared" si="264"/>
        <v>1.5693117142621251</v>
      </c>
      <c r="M606" s="363">
        <f t="shared" si="248"/>
        <v>20.950981719118388</v>
      </c>
      <c r="N606" s="366">
        <f t="shared" si="249"/>
        <v>1.5230477247161751</v>
      </c>
      <c r="O606" s="367">
        <f t="shared" si="250"/>
        <v>19.589636839687035</v>
      </c>
      <c r="P606" s="368">
        <f t="shared" si="251"/>
        <v>2.5844644188204455</v>
      </c>
      <c r="Q606" s="369">
        <f t="shared" si="252"/>
        <v>-53.754459318381663</v>
      </c>
      <c r="R606" s="370">
        <f t="shared" si="253"/>
        <v>-335.86917667283143</v>
      </c>
      <c r="S606" s="372">
        <f t="shared" si="254"/>
        <v>-155.86917667283143</v>
      </c>
      <c r="U606" s="345">
        <f t="shared" si="260"/>
        <v>524810</v>
      </c>
      <c r="V606" s="345">
        <f t="shared" si="261"/>
        <v>275425536100</v>
      </c>
      <c r="X606" s="371">
        <f t="shared" si="255"/>
        <v>-8.5168784533963233</v>
      </c>
      <c r="Y606" s="372">
        <f t="shared" si="256"/>
        <v>-87.349242436818002</v>
      </c>
      <c r="AA606" s="371">
        <f t="shared" si="257"/>
        <v>12.263644402848655</v>
      </c>
      <c r="AB606" s="372">
        <f t="shared" si="258"/>
        <v>-248.51993423601346</v>
      </c>
      <c r="AD606">
        <f t="shared" si="262"/>
        <v>0</v>
      </c>
      <c r="AE606">
        <f t="shared" si="265"/>
        <v>0</v>
      </c>
    </row>
    <row r="607" spans="1:31" x14ac:dyDescent="0.2">
      <c r="A607" s="373">
        <v>575440</v>
      </c>
      <c r="B607" s="390">
        <f t="shared" si="259"/>
        <v>575.44000000000005</v>
      </c>
      <c r="C607" s="363">
        <f t="shared" si="240"/>
        <v>812.07873921610201</v>
      </c>
      <c r="D607" s="364">
        <f t="shared" si="241"/>
        <v>1.5695649187990501</v>
      </c>
      <c r="E607" s="364">
        <f t="shared" si="242"/>
        <v>4.4524657369337319</v>
      </c>
      <c r="F607" s="365">
        <f t="shared" si="243"/>
        <v>1.3442692841144159</v>
      </c>
      <c r="G607" s="364">
        <f t="shared" si="244"/>
        <v>17.150267449492418</v>
      </c>
      <c r="H607" s="365">
        <f t="shared" si="245"/>
        <v>-1.5124551078450492</v>
      </c>
      <c r="I607" s="363">
        <f t="shared" si="246"/>
        <v>2387032.0161866928</v>
      </c>
      <c r="J607" s="366">
        <f t="shared" si="247"/>
        <v>1.5707959078646128</v>
      </c>
      <c r="K607" s="374">
        <f t="shared" si="263"/>
        <v>738.55850235751745</v>
      </c>
      <c r="L607" s="375">
        <f t="shared" si="264"/>
        <v>1.569442337500405</v>
      </c>
      <c r="M607" s="363">
        <f t="shared" si="248"/>
        <v>22.967783421881641</v>
      </c>
      <c r="N607" s="366">
        <f t="shared" si="249"/>
        <v>1.5272433118701378</v>
      </c>
      <c r="O607" s="367">
        <f t="shared" si="250"/>
        <v>23.167247166553526</v>
      </c>
      <c r="P607" s="368">
        <f t="shared" si="251"/>
        <v>2.6292375751539141</v>
      </c>
      <c r="Q607" s="369">
        <f t="shared" si="252"/>
        <v>-55.256824167091651</v>
      </c>
      <c r="R607" s="370">
        <f t="shared" si="253"/>
        <v>-337.79215010107362</v>
      </c>
      <c r="S607" s="372">
        <f t="shared" si="254"/>
        <v>-157.79215010107362</v>
      </c>
      <c r="U607" s="345">
        <f t="shared" si="260"/>
        <v>575440</v>
      </c>
      <c r="V607" s="345">
        <f t="shared" si="261"/>
        <v>331131193600</v>
      </c>
      <c r="X607" s="371">
        <f t="shared" si="255"/>
        <v>-9.3151741908008194</v>
      </c>
      <c r="Y607" s="372">
        <f t="shared" si="256"/>
        <v>-87.582150028961308</v>
      </c>
      <c r="AA607" s="371">
        <f t="shared" si="257"/>
        <v>11.559575291543176</v>
      </c>
      <c r="AB607" s="372">
        <f t="shared" si="258"/>
        <v>-250.21000007211231</v>
      </c>
      <c r="AD607">
        <f t="shared" si="262"/>
        <v>0</v>
      </c>
      <c r="AE607">
        <f t="shared" si="265"/>
        <v>0</v>
      </c>
    </row>
    <row r="608" spans="1:31" x14ac:dyDescent="0.2">
      <c r="A608" s="373">
        <v>630960</v>
      </c>
      <c r="B608" s="390">
        <f t="shared" si="259"/>
        <v>630.96</v>
      </c>
      <c r="C608" s="363">
        <f t="shared" si="240"/>
        <v>890.43016810783297</v>
      </c>
      <c r="D608" s="364">
        <f t="shared" si="241"/>
        <v>1.569673273863825</v>
      </c>
      <c r="E608" s="364">
        <f t="shared" si="242"/>
        <v>4.8612913592412079</v>
      </c>
      <c r="F608" s="365">
        <f t="shared" si="243"/>
        <v>1.3636105729997627</v>
      </c>
      <c r="G608" s="364">
        <f t="shared" si="244"/>
        <v>18.799592430509346</v>
      </c>
      <c r="H608" s="365">
        <f t="shared" si="245"/>
        <v>-1.5175785678806115</v>
      </c>
      <c r="I608" s="363">
        <f t="shared" si="246"/>
        <v>2617339.2898184578</v>
      </c>
      <c r="J608" s="366">
        <f t="shared" si="247"/>
        <v>1.5707959447275033</v>
      </c>
      <c r="K608" s="374">
        <f t="shared" si="263"/>
        <v>809.81648961037899</v>
      </c>
      <c r="L608" s="375">
        <f t="shared" si="264"/>
        <v>1.5695614788176435</v>
      </c>
      <c r="M608" s="363">
        <f t="shared" si="248"/>
        <v>25.179760699902651</v>
      </c>
      <c r="N608" s="366">
        <f t="shared" si="249"/>
        <v>1.531071443329449</v>
      </c>
      <c r="O608" s="367">
        <f t="shared" si="250"/>
        <v>27.464605483261519</v>
      </c>
      <c r="P608" s="368">
        <f t="shared" si="251"/>
        <v>2.670990204293346</v>
      </c>
      <c r="Q608" s="369">
        <f t="shared" si="252"/>
        <v>-56.772916910528444</v>
      </c>
      <c r="R608" s="370">
        <f t="shared" si="253"/>
        <v>-339.58849783084349</v>
      </c>
      <c r="S608" s="372">
        <f t="shared" si="254"/>
        <v>-159.58849783084349</v>
      </c>
      <c r="U608" s="345">
        <f t="shared" si="260"/>
        <v>630960</v>
      </c>
      <c r="V608" s="345">
        <f t="shared" si="261"/>
        <v>398110521600</v>
      </c>
      <c r="X608" s="371">
        <f t="shared" si="255"/>
        <v>-10.113825813070941</v>
      </c>
      <c r="Y608" s="372">
        <f t="shared" si="256"/>
        <v>-87.794661622688594</v>
      </c>
      <c r="AA608" s="371">
        <f t="shared" si="257"/>
        <v>10.8421341703765</v>
      </c>
      <c r="AB608" s="372">
        <f t="shared" si="258"/>
        <v>-251.79383620815494</v>
      </c>
      <c r="AD608">
        <f t="shared" si="262"/>
        <v>0</v>
      </c>
      <c r="AE608">
        <f t="shared" si="265"/>
        <v>0</v>
      </c>
    </row>
    <row r="609" spans="1:31" x14ac:dyDescent="0.2">
      <c r="A609" s="373">
        <v>691830</v>
      </c>
      <c r="B609" s="390">
        <f t="shared" si="259"/>
        <v>691.83</v>
      </c>
      <c r="C609" s="363">
        <f t="shared" si="240"/>
        <v>976.33168164245785</v>
      </c>
      <c r="D609" s="364">
        <f t="shared" si="241"/>
        <v>1.5697720845280032</v>
      </c>
      <c r="E609" s="364">
        <f t="shared" si="242"/>
        <v>5.3112642600433313</v>
      </c>
      <c r="F609" s="365">
        <f t="shared" si="243"/>
        <v>1.3813867238433903</v>
      </c>
      <c r="G609" s="364">
        <f t="shared" si="244"/>
        <v>20.608321075142154</v>
      </c>
      <c r="H609" s="365">
        <f t="shared" si="245"/>
        <v>-1.5222531755144193</v>
      </c>
      <c r="I609" s="363">
        <f t="shared" si="246"/>
        <v>2869839.3572890223</v>
      </c>
      <c r="J609" s="366">
        <f t="shared" si="247"/>
        <v>1.570795978343337</v>
      </c>
      <c r="K609" s="374">
        <f t="shared" si="263"/>
        <v>887.94102660808085</v>
      </c>
      <c r="L609" s="375">
        <f t="shared" si="264"/>
        <v>1.5696701256380381</v>
      </c>
      <c r="M609" s="363">
        <f t="shared" si="248"/>
        <v>27.605240619139558</v>
      </c>
      <c r="N609" s="366">
        <f t="shared" si="249"/>
        <v>1.5345633936515948</v>
      </c>
      <c r="O609" s="367">
        <f t="shared" si="250"/>
        <v>32.626892938221275</v>
      </c>
      <c r="P609" s="368">
        <f t="shared" si="251"/>
        <v>2.7097957235919128</v>
      </c>
      <c r="Q609" s="369">
        <f t="shared" si="252"/>
        <v>-58.300905446212248</v>
      </c>
      <c r="R609" s="370">
        <f t="shared" si="253"/>
        <v>-341.26073955088066</v>
      </c>
      <c r="S609" s="372">
        <f t="shared" si="254"/>
        <v>-161.26073955088066</v>
      </c>
      <c r="U609" s="345">
        <f t="shared" si="260"/>
        <v>691830</v>
      </c>
      <c r="V609" s="345">
        <f t="shared" si="261"/>
        <v>478628748900</v>
      </c>
      <c r="X609" s="371">
        <f t="shared" si="255"/>
        <v>-10.912625698911462</v>
      </c>
      <c r="Y609" s="372">
        <f t="shared" si="256"/>
        <v>-87.988512560417661</v>
      </c>
      <c r="AA609" s="371">
        <f t="shared" si="257"/>
        <v>10.112945520533218</v>
      </c>
      <c r="AB609" s="372">
        <f t="shared" si="258"/>
        <v>-253.27222699046291</v>
      </c>
      <c r="AD609">
        <f t="shared" si="262"/>
        <v>0</v>
      </c>
      <c r="AE609">
        <f t="shared" si="265"/>
        <v>0</v>
      </c>
    </row>
    <row r="610" spans="1:31" x14ac:dyDescent="0.2">
      <c r="A610" s="373">
        <v>758580</v>
      </c>
      <c r="B610" s="390">
        <f t="shared" si="259"/>
        <v>758.58</v>
      </c>
      <c r="C610" s="363">
        <f t="shared" si="240"/>
        <v>1070.5312312275346</v>
      </c>
      <c r="D610" s="364">
        <f t="shared" si="241"/>
        <v>1.5698622109874745</v>
      </c>
      <c r="E610" s="364">
        <f t="shared" si="242"/>
        <v>5.8063197307313636</v>
      </c>
      <c r="F610" s="365">
        <f t="shared" si="243"/>
        <v>1.3977071992969725</v>
      </c>
      <c r="G610" s="364">
        <f t="shared" si="244"/>
        <v>22.592202442831848</v>
      </c>
      <c r="H610" s="365">
        <f t="shared" si="245"/>
        <v>-1.5265188010794142</v>
      </c>
      <c r="I610" s="363">
        <f t="shared" si="246"/>
        <v>3146730.7570534442</v>
      </c>
      <c r="J610" s="366">
        <f t="shared" si="247"/>
        <v>1.570796009004759</v>
      </c>
      <c r="K610" s="374">
        <f t="shared" si="263"/>
        <v>973.61234999616272</v>
      </c>
      <c r="L610" s="375">
        <f t="shared" si="264"/>
        <v>1.5697692237843119</v>
      </c>
      <c r="M610" s="363">
        <f t="shared" si="248"/>
        <v>30.265342160558188</v>
      </c>
      <c r="N610" s="366">
        <f t="shared" si="249"/>
        <v>1.5377492184407278</v>
      </c>
      <c r="O610" s="367">
        <f t="shared" si="250"/>
        <v>38.830803326924524</v>
      </c>
      <c r="P610" s="368">
        <f t="shared" si="251"/>
        <v>2.7457698625349436</v>
      </c>
      <c r="Q610" s="369">
        <f t="shared" si="252"/>
        <v>-59.839659816035592</v>
      </c>
      <c r="R610" s="370">
        <f t="shared" si="253"/>
        <v>-342.81323589609428</v>
      </c>
      <c r="S610" s="372">
        <f t="shared" si="254"/>
        <v>-162.81323589609428</v>
      </c>
      <c r="U610" s="345">
        <f t="shared" si="260"/>
        <v>758580</v>
      </c>
      <c r="V610" s="345">
        <f t="shared" si="261"/>
        <v>575443616400</v>
      </c>
      <c r="X610" s="371">
        <f t="shared" si="255"/>
        <v>-11.711707648473409</v>
      </c>
      <c r="Y610" s="372">
        <f t="shared" si="256"/>
        <v>-88.165370726536253</v>
      </c>
      <c r="AA610" s="371">
        <f t="shared" si="257"/>
        <v>9.3732731002718204</v>
      </c>
      <c r="AB610" s="372">
        <f t="shared" si="258"/>
        <v>-254.64786516955809</v>
      </c>
      <c r="AD610">
        <f t="shared" si="262"/>
        <v>0</v>
      </c>
      <c r="AE610">
        <f t="shared" si="265"/>
        <v>0</v>
      </c>
    </row>
    <row r="611" spans="1:31" x14ac:dyDescent="0.2">
      <c r="A611" s="373">
        <v>831760</v>
      </c>
      <c r="B611" s="390">
        <f t="shared" si="259"/>
        <v>831.76</v>
      </c>
      <c r="C611" s="363">
        <f t="shared" si="240"/>
        <v>1173.8049929267754</v>
      </c>
      <c r="D611" s="364">
        <f t="shared" si="241"/>
        <v>1.5699443964257211</v>
      </c>
      <c r="E611" s="364">
        <f t="shared" si="242"/>
        <v>6.3505501912951603</v>
      </c>
      <c r="F611" s="365">
        <f t="shared" si="243"/>
        <v>1.4126715345059444</v>
      </c>
      <c r="G611" s="364">
        <f t="shared" si="244"/>
        <v>24.76758334321697</v>
      </c>
      <c r="H611" s="365">
        <f t="shared" si="245"/>
        <v>-1.5304099927493231</v>
      </c>
      <c r="I611" s="363">
        <f t="shared" si="246"/>
        <v>3450294.9912820673</v>
      </c>
      <c r="J611" s="366">
        <f t="shared" si="247"/>
        <v>1.5707960369646061</v>
      </c>
      <c r="K611" s="374">
        <f t="shared" si="263"/>
        <v>1067.5363658097187</v>
      </c>
      <c r="L611" s="375">
        <f t="shared" si="264"/>
        <v>1.5698595904191879</v>
      </c>
      <c r="M611" s="363">
        <f t="shared" si="248"/>
        <v>33.181983851607242</v>
      </c>
      <c r="N611" s="366">
        <f t="shared" si="249"/>
        <v>1.5406549272374974</v>
      </c>
      <c r="O611" s="367">
        <f t="shared" si="250"/>
        <v>46.28576833684469</v>
      </c>
      <c r="P611" s="368">
        <f t="shared" si="251"/>
        <v>2.779030247756098</v>
      </c>
      <c r="Q611" s="369">
        <f t="shared" si="252"/>
        <v>-61.387440676153901</v>
      </c>
      <c r="R611" s="370">
        <f t="shared" si="253"/>
        <v>-344.25048890964916</v>
      </c>
      <c r="S611" s="372">
        <f t="shared" si="254"/>
        <v>-164.25048890964916</v>
      </c>
      <c r="U611" s="345">
        <f t="shared" si="260"/>
        <v>831760</v>
      </c>
      <c r="V611" s="345">
        <f t="shared" si="261"/>
        <v>691824697600</v>
      </c>
      <c r="X611" s="371">
        <f t="shared" si="255"/>
        <v>-12.510843609233378</v>
      </c>
      <c r="Y611" s="372">
        <f t="shared" si="256"/>
        <v>-88.326679552463546</v>
      </c>
      <c r="AA611" s="371">
        <f t="shared" si="257"/>
        <v>8.6246282009134809</v>
      </c>
      <c r="AB611" s="372">
        <f t="shared" si="258"/>
        <v>-255.92380935718558</v>
      </c>
      <c r="AD611">
        <f t="shared" si="262"/>
        <v>0</v>
      </c>
      <c r="AE611">
        <f t="shared" si="265"/>
        <v>0</v>
      </c>
    </row>
    <row r="612" spans="1:31" x14ac:dyDescent="0.2">
      <c r="A612" s="373">
        <v>912010</v>
      </c>
      <c r="B612" s="390">
        <f t="shared" si="259"/>
        <v>912.01</v>
      </c>
      <c r="C612" s="363">
        <f t="shared" si="240"/>
        <v>1287.0561535053989</v>
      </c>
      <c r="D612" s="364">
        <f t="shared" si="241"/>
        <v>1.5700193598398113</v>
      </c>
      <c r="E612" s="364">
        <f t="shared" si="242"/>
        <v>6.9487254990761942</v>
      </c>
      <c r="F612" s="365">
        <f t="shared" si="243"/>
        <v>1.4263836119031921</v>
      </c>
      <c r="G612" s="364">
        <f t="shared" si="244"/>
        <v>27.1534888708956</v>
      </c>
      <c r="H612" s="365">
        <f t="shared" si="245"/>
        <v>-1.5339603169117813</v>
      </c>
      <c r="I612" s="363">
        <f t="shared" si="246"/>
        <v>3783186.8988640183</v>
      </c>
      <c r="J612" s="366">
        <f t="shared" si="247"/>
        <v>1.5707960624674853</v>
      </c>
      <c r="K612" s="374">
        <f t="shared" si="263"/>
        <v>1170.5344920606522</v>
      </c>
      <c r="L612" s="375">
        <f t="shared" si="264"/>
        <v>1.5699420161116799</v>
      </c>
      <c r="M612" s="363">
        <f t="shared" si="248"/>
        <v>36.380673423997521</v>
      </c>
      <c r="N612" s="366">
        <f t="shared" si="249"/>
        <v>1.5433057425822205</v>
      </c>
      <c r="O612" s="367">
        <f t="shared" si="250"/>
        <v>55.247329139783446</v>
      </c>
      <c r="P612" s="368">
        <f t="shared" si="251"/>
        <v>2.8097248589013097</v>
      </c>
      <c r="Q612" s="369">
        <f t="shared" si="252"/>
        <v>-62.943399927824998</v>
      </c>
      <c r="R612" s="370">
        <f t="shared" si="253"/>
        <v>-345.57838944644607</v>
      </c>
      <c r="S612" s="372">
        <f t="shared" si="254"/>
        <v>-165.57838944644607</v>
      </c>
      <c r="U612" s="345">
        <f t="shared" si="260"/>
        <v>912010</v>
      </c>
      <c r="V612" s="345">
        <f t="shared" si="261"/>
        <v>831762240100</v>
      </c>
      <c r="X612" s="371">
        <f t="shared" si="255"/>
        <v>-13.310211973799513</v>
      </c>
      <c r="Y612" s="372">
        <f t="shared" si="256"/>
        <v>-88.473838901056965</v>
      </c>
      <c r="AA612" s="371">
        <f t="shared" si="257"/>
        <v>7.8680373138085162</v>
      </c>
      <c r="AB612" s="372">
        <f t="shared" si="258"/>
        <v>-257.10455054538903</v>
      </c>
      <c r="AD612">
        <f t="shared" si="262"/>
        <v>0</v>
      </c>
      <c r="AE612">
        <f t="shared" si="265"/>
        <v>0</v>
      </c>
    </row>
    <row r="613" spans="1:31" x14ac:dyDescent="0.2">
      <c r="A613" s="373">
        <v>1000000</v>
      </c>
      <c r="B613" s="390">
        <f t="shared" si="259"/>
        <v>1000</v>
      </c>
      <c r="C613" s="363">
        <f t="shared" si="240"/>
        <v>1411.2302366726392</v>
      </c>
      <c r="D613" s="364">
        <f t="shared" si="241"/>
        <v>1.5700877251382004</v>
      </c>
      <c r="E613" s="364">
        <f t="shared" si="242"/>
        <v>7.605847830475966</v>
      </c>
      <c r="F613" s="365">
        <f t="shared" si="243"/>
        <v>1.43893677148458</v>
      </c>
      <c r="G613" s="364">
        <f t="shared" si="244"/>
        <v>29.76983891729471</v>
      </c>
      <c r="H613" s="365">
        <f t="shared" si="245"/>
        <v>-1.5371989614194861</v>
      </c>
      <c r="I613" s="363">
        <f t="shared" si="246"/>
        <v>4148185.7642613524</v>
      </c>
      <c r="J613" s="366">
        <f t="shared" si="247"/>
        <v>1.5707960857256542</v>
      </c>
      <c r="K613" s="374">
        <f t="shared" si="263"/>
        <v>1283.4666508009791</v>
      </c>
      <c r="L613" s="375">
        <f t="shared" si="264"/>
        <v>1.5700171868768065</v>
      </c>
      <c r="M613" s="363">
        <f t="shared" si="248"/>
        <v>39.888116538877583</v>
      </c>
      <c r="N613" s="366">
        <f t="shared" si="249"/>
        <v>1.5457235766059936</v>
      </c>
      <c r="O613" s="367">
        <f t="shared" si="250"/>
        <v>66.019231023268333</v>
      </c>
      <c r="P613" s="368">
        <f t="shared" si="251"/>
        <v>2.8379959076632759</v>
      </c>
      <c r="Q613" s="369">
        <f t="shared" si="252"/>
        <v>-64.506180967632105</v>
      </c>
      <c r="R613" s="370">
        <f t="shared" si="253"/>
        <v>-346.80266191557973</v>
      </c>
      <c r="S613" s="372">
        <f t="shared" si="254"/>
        <v>-166.80266191557973</v>
      </c>
      <c r="U613" s="345">
        <f t="shared" si="260"/>
        <v>1000000</v>
      </c>
      <c r="V613" s="345">
        <f t="shared" si="261"/>
        <v>1000000000000</v>
      </c>
      <c r="X613" s="371">
        <f t="shared" si="255"/>
        <v>-14.109668431280372</v>
      </c>
      <c r="Y613" s="372">
        <f t="shared" si="256"/>
        <v>-88.608064951346051</v>
      </c>
      <c r="AA613" s="371">
        <f t="shared" si="257"/>
        <v>7.1047127314822776</v>
      </c>
      <c r="AB613" s="372">
        <f t="shared" si="258"/>
        <v>-258.19459696423365</v>
      </c>
      <c r="AD613">
        <f t="shared" si="262"/>
        <v>0</v>
      </c>
      <c r="AE613">
        <f t="shared" si="265"/>
        <v>0</v>
      </c>
    </row>
    <row r="614" spans="1:31" x14ac:dyDescent="0.2">
      <c r="A614" s="376"/>
      <c r="B614" s="376"/>
      <c r="C614" s="377"/>
      <c r="D614" s="377"/>
      <c r="E614" s="377"/>
      <c r="F614" s="377"/>
      <c r="G614" s="364"/>
      <c r="H614" s="365"/>
      <c r="I614" s="377"/>
      <c r="J614" s="377"/>
      <c r="K614" s="377"/>
      <c r="L614" s="377"/>
      <c r="M614" s="377"/>
      <c r="N614" s="377"/>
      <c r="O614" s="377"/>
      <c r="P614" s="378"/>
      <c r="Q614" s="465"/>
      <c r="R614" s="370"/>
      <c r="S614" s="379"/>
      <c r="AA614" s="371"/>
      <c r="AB614" s="372"/>
    </row>
    <row r="615" spans="1:31" x14ac:dyDescent="0.2">
      <c r="A615" s="376"/>
      <c r="B615" s="376"/>
      <c r="C615" s="377"/>
      <c r="D615" s="377"/>
      <c r="E615" s="377"/>
      <c r="F615" s="377"/>
      <c r="G615" s="364"/>
      <c r="H615" s="365"/>
      <c r="I615" s="377"/>
      <c r="J615" s="377"/>
      <c r="K615" s="377"/>
      <c r="L615" s="377"/>
      <c r="M615" s="377"/>
      <c r="N615" s="377"/>
      <c r="O615" s="377"/>
      <c r="P615" s="378"/>
      <c r="Q615" s="379"/>
      <c r="R615" s="370"/>
      <c r="S615" s="379"/>
      <c r="AA615" s="371"/>
      <c r="AB615" s="372"/>
    </row>
    <row r="616" spans="1:31" x14ac:dyDescent="0.2">
      <c r="A616" s="345" t="s">
        <v>507</v>
      </c>
      <c r="G616" s="364"/>
      <c r="H616" s="365"/>
      <c r="Q616" s="369"/>
      <c r="R616" s="370"/>
      <c r="S616" s="379"/>
      <c r="AA616" s="371"/>
      <c r="AB616" s="372"/>
    </row>
    <row r="617" spans="1:31" x14ac:dyDescent="0.2">
      <c r="A617" s="380">
        <f>Q4*1000</f>
        <v>6760.8</v>
      </c>
      <c r="B617" s="380"/>
      <c r="C617" s="381">
        <f t="shared" ref="C617:C626" si="266">SQRT(1+(A617/pole1)^2)</f>
        <v>9.5933050255357877</v>
      </c>
      <c r="D617" s="374">
        <f t="shared" ref="D617:D626" si="267">ATAN(A617/pole1)</f>
        <v>1.4663672604677969</v>
      </c>
      <c r="E617" s="374">
        <f t="shared" ref="E617:E626" si="268">SQRT(1+(A617/Zero1)^2)</f>
        <v>1.001298394174621</v>
      </c>
      <c r="F617" s="375">
        <f t="shared" ref="F617:F626" si="269">ATAN(A617/Zero1)</f>
        <v>5.0931147114480595E-2</v>
      </c>
      <c r="G617" s="364">
        <f>IF(VIN_nom&gt;Vout, 1, SQRT(1+(A617/z_RHP)^2))</f>
        <v>1.02003091619957</v>
      </c>
      <c r="H617" s="365">
        <f>IF(VIN_nom&gt;Vout, 0, -ATAN(A617/z_RHP))</f>
        <v>-0.19850525895086527</v>
      </c>
      <c r="I617" s="381">
        <f t="shared" ref="I617:I626" si="270">SQRT(1+(A617/Pole2)^2)</f>
        <v>28045.05433284579</v>
      </c>
      <c r="J617" s="382">
        <f t="shared" ref="J617:J626" si="271">ATAN(A617/Pole2)</f>
        <v>1.570760669884115</v>
      </c>
      <c r="K617" s="374">
        <f t="shared" ref="K617:K626" si="272">SQRT(1+(A617/Zero2)^2)</f>
        <v>8.7346905227469769</v>
      </c>
      <c r="L617" s="375">
        <f t="shared" ref="L617:L626" si="273">ATAN(A617/Zero2)</f>
        <v>1.4560587191193306</v>
      </c>
      <c r="M617" s="381">
        <f t="shared" ref="M617:M626" si="274">SQRT(1+(A617/pole4)^2)</f>
        <v>1.0357022782212393</v>
      </c>
      <c r="N617" s="382">
        <f t="shared" ref="N617:N626" si="275">ATAN(A617/pole4)</f>
        <v>0.2633304157018454</v>
      </c>
      <c r="O617" s="381">
        <f t="shared" ref="O617:O626" si="276">SQRT((1-(A617^2/(pole3^2)))^2+(A617/(Q*pole3))^2)</f>
        <v>1.0059637592929849</v>
      </c>
      <c r="P617" s="456">
        <f t="shared" ref="P617:P626" si="277">ATAN((A617/(Q*pole3))/(1-A617^2/pole3^2))</f>
        <v>0.13303716931130213</v>
      </c>
      <c r="Q617" s="369">
        <f>20*LOG10(((E617*K617*G617)/(C617*I617*O617*M617))*Adc)</f>
        <v>4.2697566144390818E-2</v>
      </c>
      <c r="R617" s="370">
        <f>((F617+L617+H617)-(D617+J617+P617+N617))*radconv</f>
        <v>-121.75415659149201</v>
      </c>
      <c r="S617" s="372">
        <f t="shared" ref="S617:S626" si="278">IF(R617&gt;0,R617,R617+180)</f>
        <v>58.245843408507994</v>
      </c>
      <c r="T617" s="345" t="s">
        <v>508</v>
      </c>
      <c r="X617" s="371">
        <f t="shared" ref="X617:X626" si="279">20*LOG10((K617/(I617*M617))*AEA)</f>
        <v>17.659800430373906</v>
      </c>
      <c r="Y617" s="372">
        <f t="shared" ref="Y617:Y626" si="280">(L617-(J617+N617))*radconv</f>
        <v>-21.659659142630527</v>
      </c>
      <c r="AA617" s="371">
        <f>20*LOG10((E617*G617/(C617*O617))*Acs*Am)</f>
        <v>39.884122403604486</v>
      </c>
      <c r="AB617" s="372">
        <f>(F617+H617-(D617+P617))*radconv</f>
        <v>-100.0944974488615</v>
      </c>
    </row>
    <row r="618" spans="1:31" x14ac:dyDescent="0.2">
      <c r="A618" s="380">
        <f>A617</f>
        <v>6760.8</v>
      </c>
      <c r="B618" s="380"/>
      <c r="C618" s="381"/>
      <c r="D618" s="374"/>
      <c r="E618" s="374"/>
      <c r="F618" s="375"/>
      <c r="G618" s="364"/>
      <c r="H618" s="365"/>
      <c r="I618" s="381"/>
      <c r="J618" s="382"/>
      <c r="K618" s="374"/>
      <c r="L618" s="375"/>
      <c r="M618" s="363"/>
      <c r="N618" s="366"/>
      <c r="O618" s="381"/>
      <c r="P618" s="368"/>
      <c r="Q618" s="369"/>
      <c r="R618" s="370">
        <v>-90</v>
      </c>
      <c r="S618" s="372"/>
      <c r="X618" s="371"/>
      <c r="Y618" s="372"/>
      <c r="AA618" s="371"/>
      <c r="AB618" s="372"/>
    </row>
    <row r="619" spans="1:31" x14ac:dyDescent="0.2">
      <c r="A619" s="345">
        <f>A618</f>
        <v>6760.8</v>
      </c>
      <c r="B619" s="380"/>
      <c r="C619" s="381"/>
      <c r="D619" s="374"/>
      <c r="E619" s="374"/>
      <c r="F619" s="375"/>
      <c r="G619" s="364"/>
      <c r="H619" s="365"/>
      <c r="I619" s="381"/>
      <c r="J619" s="382"/>
      <c r="K619" s="374"/>
      <c r="L619" s="375"/>
      <c r="M619" s="363"/>
      <c r="N619" s="366"/>
      <c r="O619" s="381"/>
      <c r="P619" s="368"/>
      <c r="Q619" s="369"/>
      <c r="R619" s="370">
        <f>R617</f>
        <v>-121.75415659149201</v>
      </c>
      <c r="S619" s="372"/>
      <c r="X619" s="371"/>
      <c r="Y619" s="372"/>
      <c r="AA619" s="371"/>
      <c r="AB619" s="372"/>
    </row>
    <row r="620" spans="1:31" x14ac:dyDescent="0.2">
      <c r="A620" s="380">
        <v>1000000</v>
      </c>
      <c r="B620" s="380"/>
      <c r="C620" s="381"/>
      <c r="D620" s="374"/>
      <c r="E620" s="374"/>
      <c r="F620" s="375"/>
      <c r="G620" s="364"/>
      <c r="H620" s="365"/>
      <c r="I620" s="381"/>
      <c r="J620" s="382"/>
      <c r="K620" s="374"/>
      <c r="L620" s="375"/>
      <c r="M620" s="363"/>
      <c r="N620" s="366"/>
      <c r="O620" s="381"/>
      <c r="P620" s="368"/>
      <c r="Q620" s="369"/>
      <c r="R620" s="370">
        <f>R617</f>
        <v>-121.75415659149201</v>
      </c>
      <c r="S620" s="372"/>
      <c r="X620" s="371"/>
      <c r="Y620" s="372"/>
      <c r="AA620" s="371"/>
      <c r="AB620" s="372"/>
    </row>
    <row r="621" spans="1:31" x14ac:dyDescent="0.2">
      <c r="A621" s="380"/>
      <c r="B621" s="380"/>
      <c r="C621" s="381"/>
      <c r="D621" s="374"/>
      <c r="E621" s="374"/>
      <c r="F621" s="375"/>
      <c r="G621" s="364"/>
      <c r="H621" s="365"/>
      <c r="I621" s="381"/>
      <c r="J621" s="382"/>
      <c r="K621" s="374"/>
      <c r="L621" s="375"/>
      <c r="M621" s="363"/>
      <c r="N621" s="366"/>
      <c r="O621" s="381"/>
      <c r="P621" s="368"/>
      <c r="Q621" s="369"/>
      <c r="R621" s="370"/>
      <c r="S621" s="372"/>
      <c r="X621" s="371"/>
      <c r="Y621" s="372"/>
      <c r="AA621" s="371"/>
      <c r="AB621" s="372"/>
    </row>
    <row r="622" spans="1:31" x14ac:dyDescent="0.2">
      <c r="A622" s="466">
        <f>pole1</f>
        <v>708.60177529641101</v>
      </c>
      <c r="B622" s="380"/>
      <c r="C622" s="381">
        <f t="shared" si="266"/>
        <v>1.4142135623730951</v>
      </c>
      <c r="D622" s="374">
        <f t="shared" si="267"/>
        <v>0.78539816339744828</v>
      </c>
      <c r="E622" s="374">
        <f t="shared" si="268"/>
        <v>1.0000142722881433</v>
      </c>
      <c r="F622" s="375">
        <f t="shared" si="269"/>
        <v>5.3426806748877263E-3</v>
      </c>
      <c r="G622" s="364">
        <f t="shared" ref="G622:G628" si="281">IF(VIN_nom&gt;Vout, 1, SQRT(1+(A622/z_RHP)^2))</f>
        <v>1.0002222229338624</v>
      </c>
      <c r="H622" s="365">
        <f t="shared" ref="H622:H628" si="282">IF(VIN_nom&gt;Vout, 0, -ATAN(A622/z_RHP))</f>
        <v>-2.1079933070949599E-2</v>
      </c>
      <c r="I622" s="381">
        <f t="shared" si="270"/>
        <v>2939.4119669168626</v>
      </c>
      <c r="J622" s="382">
        <f t="shared" si="271"/>
        <v>1.5704561226892644</v>
      </c>
      <c r="K622" s="374">
        <f t="shared" si="272"/>
        <v>1.3517134542173368</v>
      </c>
      <c r="L622" s="375">
        <f t="shared" si="273"/>
        <v>0.73802064621287278</v>
      </c>
      <c r="M622" s="363">
        <f t="shared" si="274"/>
        <v>1.000399118476301</v>
      </c>
      <c r="N622" s="366">
        <f t="shared" si="275"/>
        <v>2.8248390226622701E-2</v>
      </c>
      <c r="O622" s="381">
        <f t="shared" si="276"/>
        <v>1.000065659847321</v>
      </c>
      <c r="P622" s="368">
        <f t="shared" si="277"/>
        <v>1.3985025906173815E-2</v>
      </c>
      <c r="Q622" s="369">
        <f t="shared" ref="Q622:Q628" si="283">20*LOG10(((E622*K622*G622)/(C622*I622*O622*M622))*Adc)</f>
        <v>20.22724741373899</v>
      </c>
      <c r="R622" s="370">
        <f t="shared" ref="R622:R628" si="284">((F622+L622+H622)-(D622+J622+P622+N622))*radconv</f>
        <v>-96.016514271029251</v>
      </c>
      <c r="S622" s="372">
        <f t="shared" si="278"/>
        <v>83.983485728970749</v>
      </c>
      <c r="T622" s="345" t="s">
        <v>482</v>
      </c>
      <c r="X622" s="371">
        <f t="shared" si="279"/>
        <v>21.345691897078176</v>
      </c>
      <c r="Y622" s="372">
        <f t="shared" si="280"/>
        <v>-49.313553113431986</v>
      </c>
      <c r="AA622" s="371">
        <f t="shared" ref="AA622:AA628" si="285">20*LOG10((E622*G622/(C622*O622))*Acs*Am)</f>
        <v>56.38278078449482</v>
      </c>
      <c r="AB622" s="372">
        <f t="shared" ref="AB622:AB628" si="286">(F622+H622-(D622+P622))*radconv</f>
        <v>-46.702961157597272</v>
      </c>
    </row>
    <row r="623" spans="1:31" x14ac:dyDescent="0.2">
      <c r="A623" s="466">
        <f>Zero1</f>
        <v>132629.11939479699</v>
      </c>
      <c r="B623" s="380"/>
      <c r="C623" s="381">
        <f t="shared" si="266"/>
        <v>187.17284790928602</v>
      </c>
      <c r="D623" s="374">
        <f t="shared" si="267"/>
        <v>1.5654536461200088</v>
      </c>
      <c r="E623" s="374">
        <f t="shared" si="268"/>
        <v>1.4142135623730951</v>
      </c>
      <c r="F623" s="375">
        <f t="shared" si="269"/>
        <v>0.78539816339744828</v>
      </c>
      <c r="G623" s="364">
        <f t="shared" si="281"/>
        <v>4.0708546592050849</v>
      </c>
      <c r="H623" s="365">
        <f t="shared" si="282"/>
        <v>-1.3226075250358535</v>
      </c>
      <c r="I623" s="381">
        <f t="shared" si="270"/>
        <v>550170.22500090895</v>
      </c>
      <c r="J623" s="382">
        <f t="shared" si="271"/>
        <v>1.5707945091756317</v>
      </c>
      <c r="K623" s="374">
        <f t="shared" si="272"/>
        <v>170.22793726354087</v>
      </c>
      <c r="L623" s="375">
        <f t="shared" si="273"/>
        <v>1.5649218166073005</v>
      </c>
      <c r="M623" s="363">
        <f t="shared" si="274"/>
        <v>5.382374594786449</v>
      </c>
      <c r="N623" s="366">
        <f t="shared" si="275"/>
        <v>1.3839188967884755</v>
      </c>
      <c r="O623" s="381">
        <f t="shared" si="276"/>
        <v>2.6206869826061796</v>
      </c>
      <c r="P623" s="368">
        <f t="shared" si="277"/>
        <v>-1.5227786562135379</v>
      </c>
      <c r="Q623" s="369">
        <f t="shared" si="283"/>
        <v>-33.430905274725269</v>
      </c>
      <c r="R623" s="370">
        <f t="shared" si="284"/>
        <v>-112.85411855108042</v>
      </c>
      <c r="S623" s="372">
        <f t="shared" si="278"/>
        <v>67.145881448919582</v>
      </c>
      <c r="T623" s="345" t="s">
        <v>477</v>
      </c>
      <c r="X623" s="371">
        <f t="shared" si="279"/>
        <v>3.2878710102337028</v>
      </c>
      <c r="Y623" s="372">
        <f t="shared" si="280"/>
        <v>-79.629192563913463</v>
      </c>
      <c r="AA623" s="371">
        <f t="shared" si="285"/>
        <v>20.782448982875028</v>
      </c>
      <c r="AB623" s="372">
        <f t="shared" si="286"/>
        <v>-33.224925987166955</v>
      </c>
    </row>
    <row r="624" spans="1:31" x14ac:dyDescent="0.2">
      <c r="A624" s="466">
        <f>Pole2</f>
        <v>0.24106924251452713</v>
      </c>
      <c r="B624" s="380"/>
      <c r="C624" s="381">
        <f t="shared" si="266"/>
        <v>1.0000000578694195</v>
      </c>
      <c r="D624" s="374">
        <f t="shared" si="267"/>
        <v>3.4020410563229142E-4</v>
      </c>
      <c r="E624" s="374">
        <f t="shared" si="268"/>
        <v>1.000000000001652</v>
      </c>
      <c r="F624" s="375">
        <f t="shared" si="269"/>
        <v>1.8176192650172925E-6</v>
      </c>
      <c r="G624" s="364">
        <f t="shared" si="281"/>
        <v>1.0000000000257225</v>
      </c>
      <c r="H624" s="365">
        <f t="shared" si="282"/>
        <v>-7.1725424907640349E-6</v>
      </c>
      <c r="I624" s="381">
        <f t="shared" si="270"/>
        <v>1.4142135623730951</v>
      </c>
      <c r="J624" s="382">
        <f t="shared" si="271"/>
        <v>0.78539816339744828</v>
      </c>
      <c r="K624" s="374">
        <f t="shared" si="272"/>
        <v>1.0000000478654905</v>
      </c>
      <c r="L624" s="375">
        <f t="shared" si="273"/>
        <v>3.0940422951471929E-4</v>
      </c>
      <c r="M624" s="363">
        <f t="shared" si="274"/>
        <v>1.0000000000462026</v>
      </c>
      <c r="N624" s="366">
        <f t="shared" si="275"/>
        <v>9.6127757462842028E-6</v>
      </c>
      <c r="O624" s="381">
        <f t="shared" si="276"/>
        <v>1.0000000000075997</v>
      </c>
      <c r="P624" s="368">
        <f t="shared" si="277"/>
        <v>4.75792071156068E-6</v>
      </c>
      <c r="Q624" s="369">
        <f t="shared" si="283"/>
        <v>86.976746101324323</v>
      </c>
      <c r="R624" s="370">
        <f t="shared" si="284"/>
        <v>-45.002894949090511</v>
      </c>
      <c r="S624" s="372">
        <f t="shared" si="278"/>
        <v>134.99710505090948</v>
      </c>
      <c r="T624" s="345" t="s">
        <v>485</v>
      </c>
      <c r="W624" s="345">
        <f>Pole2</f>
        <v>0.24106924251452713</v>
      </c>
      <c r="X624" s="371">
        <f t="shared" si="279"/>
        <v>85.086374791111993</v>
      </c>
      <c r="Y624" s="372">
        <f t="shared" si="280"/>
        <v>-44.982823266365344</v>
      </c>
      <c r="AA624" s="371">
        <f t="shared" si="285"/>
        <v>59.391596578046332</v>
      </c>
      <c r="AB624" s="372">
        <f t="shared" si="286"/>
        <v>-2.0071682725170552E-2</v>
      </c>
    </row>
    <row r="625" spans="1:28" x14ac:dyDescent="0.2">
      <c r="A625" s="466">
        <f>Zero2</f>
        <v>779.14007575148753</v>
      </c>
      <c r="B625" s="380"/>
      <c r="C625" s="381">
        <f t="shared" si="266"/>
        <v>1.4862707938780617</v>
      </c>
      <c r="D625" s="374">
        <f t="shared" si="267"/>
        <v>0.83277568058202378</v>
      </c>
      <c r="E625" s="374">
        <f t="shared" si="268"/>
        <v>1.0000172551830862</v>
      </c>
      <c r="F625" s="375">
        <f t="shared" si="269"/>
        <v>5.8745101875961421E-3</v>
      </c>
      <c r="G625" s="364">
        <f t="shared" si="281"/>
        <v>1.0002686614835499</v>
      </c>
      <c r="H625" s="365">
        <f t="shared" si="282"/>
        <v>-2.3177633536475666E-2</v>
      </c>
      <c r="I625" s="381">
        <f t="shared" si="270"/>
        <v>3232.0179252998546</v>
      </c>
      <c r="J625" s="382">
        <f t="shared" si="271"/>
        <v>1.5704869225653819</v>
      </c>
      <c r="K625" s="374">
        <f t="shared" si="272"/>
        <v>1.4142135623730951</v>
      </c>
      <c r="L625" s="375">
        <f t="shared" si="273"/>
        <v>0.78539816339744828</v>
      </c>
      <c r="M625" s="363">
        <f t="shared" si="274"/>
        <v>1.0004825144703</v>
      </c>
      <c r="N625" s="366">
        <f t="shared" si="275"/>
        <v>3.1058671359444064E-2</v>
      </c>
      <c r="O625" s="381">
        <f t="shared" si="276"/>
        <v>1.0000793823985348</v>
      </c>
      <c r="P625" s="368">
        <f t="shared" si="277"/>
        <v>1.5377069658819855E-2</v>
      </c>
      <c r="Q625" s="369">
        <f t="shared" si="283"/>
        <v>19.363515601528128</v>
      </c>
      <c r="R625" s="370">
        <f t="shared" si="284"/>
        <v>-96.348772251258637</v>
      </c>
      <c r="S625" s="372">
        <f t="shared" si="278"/>
        <v>83.651227748741363</v>
      </c>
      <c r="T625" s="345" t="s">
        <v>480</v>
      </c>
      <c r="W625" s="345">
        <f>Zero2</f>
        <v>779.14007575148753</v>
      </c>
      <c r="X625" s="371">
        <f t="shared" si="279"/>
        <v>20.913309016852331</v>
      </c>
      <c r="Y625" s="372">
        <f t="shared" si="280"/>
        <v>-46.761803283098452</v>
      </c>
      <c r="AA625" s="371">
        <f t="shared" si="285"/>
        <v>55.951431852509799</v>
      </c>
      <c r="AB625" s="372">
        <f t="shared" si="286"/>
        <v>-49.5869689681602</v>
      </c>
    </row>
    <row r="626" spans="1:28" x14ac:dyDescent="0.2">
      <c r="A626" s="466">
        <f>pole3</f>
        <v>125000</v>
      </c>
      <c r="B626" s="380"/>
      <c r="C626" s="381">
        <f t="shared" si="266"/>
        <v>176.40656968080481</v>
      </c>
      <c r="D626" s="374">
        <f t="shared" si="267"/>
        <v>1.5651275733146615</v>
      </c>
      <c r="E626" s="374">
        <f t="shared" si="268"/>
        <v>1.3741413297285188</v>
      </c>
      <c r="F626" s="375">
        <f t="shared" si="269"/>
        <v>0.7557940155889753</v>
      </c>
      <c r="G626" s="364">
        <f t="shared" si="281"/>
        <v>3.8512240529020336</v>
      </c>
      <c r="H626" s="365">
        <f t="shared" si="282"/>
        <v>-1.3081285929869795</v>
      </c>
      <c r="I626" s="381">
        <f t="shared" si="270"/>
        <v>518523.22053361824</v>
      </c>
      <c r="J626" s="382">
        <f t="shared" si="271"/>
        <v>1.5707943982409565</v>
      </c>
      <c r="K626" s="374">
        <f t="shared" si="272"/>
        <v>160.43639918390764</v>
      </c>
      <c r="L626" s="375">
        <f t="shared" si="273"/>
        <v>1.5645632869096391</v>
      </c>
      <c r="M626" s="363">
        <f t="shared" si="274"/>
        <v>5.0837698871922905</v>
      </c>
      <c r="N626" s="366">
        <f t="shared" si="275"/>
        <v>1.3728007971336234</v>
      </c>
      <c r="O626" s="381">
        <f t="shared" si="276"/>
        <v>2.4670923704069012</v>
      </c>
      <c r="P626" s="368" t="e">
        <f t="shared" si="277"/>
        <v>#DIV/0!</v>
      </c>
      <c r="Q626" s="369">
        <f t="shared" si="283"/>
        <v>-32.627377170589831</v>
      </c>
      <c r="R626" s="370" t="e">
        <f t="shared" si="284"/>
        <v>#DIV/0!</v>
      </c>
      <c r="S626" s="372" t="e">
        <f t="shared" si="278"/>
        <v>#DIV/0!</v>
      </c>
      <c r="T626" s="345" t="s">
        <v>478</v>
      </c>
      <c r="X626" s="371">
        <f t="shared" si="279"/>
        <v>3.7836505738627171</v>
      </c>
      <c r="Y626" s="372">
        <f t="shared" si="280"/>
        <v>-79.012708259197538</v>
      </c>
      <c r="AA626" s="371">
        <f t="shared" si="285"/>
        <v>21.090197523381459</v>
      </c>
      <c r="AB626" s="372" t="e">
        <f t="shared" si="286"/>
        <v>#DIV/0!</v>
      </c>
    </row>
    <row r="627" spans="1:28" ht="13.5" thickBot="1" x14ac:dyDescent="0.25">
      <c r="A627" s="441">
        <f>Fp2_u</f>
        <v>25078.005445023155</v>
      </c>
      <c r="C627" s="381">
        <f>SQRT(1+(A627/pole1)^2)</f>
        <v>35.404955808713041</v>
      </c>
      <c r="D627" s="374">
        <f>ATAN(A627/pole1)</f>
        <v>1.5425479365682739</v>
      </c>
      <c r="E627" s="374">
        <f>SQRT(1+(A627/Zero1)^2)</f>
        <v>1.0177193365313413</v>
      </c>
      <c r="F627" s="375">
        <f>ATAN(A627/Zero1)</f>
        <v>0.18687743000642115</v>
      </c>
      <c r="G627" s="364">
        <f t="shared" si="281"/>
        <v>1.2476919270046427</v>
      </c>
      <c r="H627" s="365">
        <f t="shared" si="282"/>
        <v>-0.64103053832060786</v>
      </c>
      <c r="I627" s="381">
        <f>SQRT(1+(A627/Pole2)^2)</f>
        <v>104028.22518791709</v>
      </c>
      <c r="J627" s="382">
        <f>ATAN(A627/Pole2)</f>
        <v>1.5707867140191503</v>
      </c>
      <c r="K627" s="374">
        <f>SQRT(1+(A627/Zero2)^2)</f>
        <v>32.202304471807601</v>
      </c>
      <c r="L627" s="375">
        <f>ATAN(A627/Zero2)</f>
        <v>1.5397376554354525</v>
      </c>
      <c r="M627" s="363">
        <f>SQRT(1+(A627/pole4)^2)</f>
        <v>1.4142135623730951</v>
      </c>
      <c r="N627" s="366">
        <f>ATAN(A627/pole4)</f>
        <v>0.78539816339744828</v>
      </c>
      <c r="O627" s="381">
        <f>SQRT((1-(A627^2/(pole3^2)))^2+(A627/(Q*pole3))^2)</f>
        <v>1.0798627310073177</v>
      </c>
      <c r="P627" s="368">
        <f>ATAN((A627/(Q*pole3))/(1-A627^2/pole3^2))</f>
        <v>0.47614090204187143</v>
      </c>
      <c r="Q627" s="369">
        <f t="shared" si="283"/>
        <v>-12.782482919309778</v>
      </c>
      <c r="R627" s="370">
        <f t="shared" si="284"/>
        <v>-188.46238719172774</v>
      </c>
      <c r="S627" s="372">
        <f>IF(R627&gt;0,R627,R627+180)</f>
        <v>-8.4623871917277427</v>
      </c>
      <c r="T627" s="345" t="s">
        <v>490</v>
      </c>
      <c r="X627" s="383"/>
      <c r="Y627" s="384"/>
      <c r="AA627" s="371">
        <f t="shared" si="285"/>
        <v>29.817652716323288</v>
      </c>
      <c r="AB627" s="372">
        <f t="shared" si="286"/>
        <v>-141.68340712357463</v>
      </c>
    </row>
    <row r="628" spans="1:28" x14ac:dyDescent="0.2">
      <c r="A628" s="441">
        <f>z_RHP</f>
        <v>33610.012463615807</v>
      </c>
      <c r="C628" s="381">
        <f>SQRT(1+(A628/pole1)^2)</f>
        <v>47.441994292394064</v>
      </c>
      <c r="D628" s="374">
        <f>ATAN(A628/pole1)</f>
        <v>1.5497163937239471</v>
      </c>
      <c r="E628" s="374">
        <f>SQRT(1+(A628/Zero1)^2)</f>
        <v>1.0316096228172564</v>
      </c>
      <c r="F628" s="375">
        <f>ATAN(A628/Zero1)</f>
        <v>0.24818880175904298</v>
      </c>
      <c r="G628" s="364">
        <f t="shared" si="281"/>
        <v>1.4142135623730951</v>
      </c>
      <c r="H628" s="365">
        <f t="shared" si="282"/>
        <v>-0.78539816339744828</v>
      </c>
      <c r="I628" s="381">
        <f>SQRT(1+(A628/Pole2)^2)</f>
        <v>139420.57524179993</v>
      </c>
      <c r="J628" s="382">
        <f>ATAN(A628/Pole2)</f>
        <v>1.570789154252406</v>
      </c>
      <c r="K628" s="374">
        <f>SQRT(1+(A628/Zero2)^2)</f>
        <v>43.148906372195711</v>
      </c>
      <c r="L628" s="375">
        <f>ATAN(A628/Zero2)</f>
        <v>1.5476186932584211</v>
      </c>
      <c r="M628" s="363">
        <f>SQRT(1+(A628/pole4)^2)</f>
        <v>1.6721800826349629</v>
      </c>
      <c r="N628" s="366">
        <f>ATAN(A628/pole4)</f>
        <v>0.92976578847428881</v>
      </c>
      <c r="O628" s="381">
        <f>SQRT((1-(A628^2/(pole3^2)))^2+(A628/(Q*pole3))^2)</f>
        <v>1.1404690707699976</v>
      </c>
      <c r="P628" s="368">
        <f>ATAN((A628/(Q*pole3))/(1-A628^2/pole3^2))</f>
        <v>0.62075371557273307</v>
      </c>
      <c r="Q628" s="369">
        <f t="shared" si="283"/>
        <v>-16.050077656113327</v>
      </c>
      <c r="R628" s="370">
        <f t="shared" si="284"/>
        <v>-209.73783143801427</v>
      </c>
      <c r="S628" s="372">
        <f>IF(R628&gt;0,R628,R628+180)</f>
        <v>-29.737831438014268</v>
      </c>
      <c r="T628" s="345" t="s">
        <v>612</v>
      </c>
      <c r="X628" s="379"/>
      <c r="Y628" s="379"/>
      <c r="AA628" s="371">
        <f t="shared" si="285"/>
        <v>28.007275753534564</v>
      </c>
      <c r="AB628" s="372">
        <f t="shared" si="286"/>
        <v>-155.13860613606772</v>
      </c>
    </row>
    <row r="629" spans="1:28" x14ac:dyDescent="0.2">
      <c r="A629" s="441">
        <f>Fp2_u</f>
        <v>25078.005445023155</v>
      </c>
      <c r="Q629" s="369">
        <v>-25</v>
      </c>
    </row>
    <row r="631" spans="1:28" x14ac:dyDescent="0.2">
      <c r="D631" s="345" t="s">
        <v>509</v>
      </c>
      <c r="E631" s="345" t="s">
        <v>510</v>
      </c>
    </row>
    <row r="632" spans="1:28" x14ac:dyDescent="0.2">
      <c r="A632" s="345" t="s">
        <v>482</v>
      </c>
      <c r="B632" s="345" t="s">
        <v>609</v>
      </c>
      <c r="C632" s="385">
        <f>pole1</f>
        <v>708.60177529641101</v>
      </c>
      <c r="D632" s="385">
        <f>Q622</f>
        <v>20.22724741373899</v>
      </c>
      <c r="E632" s="385">
        <f>AA622</f>
        <v>56.38278078449482</v>
      </c>
    </row>
    <row r="633" spans="1:28" x14ac:dyDescent="0.2">
      <c r="A633" s="345" t="s">
        <v>477</v>
      </c>
      <c r="B633" s="345" t="s">
        <v>621</v>
      </c>
      <c r="C633" s="385">
        <f>Zero1</f>
        <v>132629.11939479699</v>
      </c>
      <c r="D633" s="385">
        <f>Q623</f>
        <v>-33.430905274725269</v>
      </c>
      <c r="E633" s="385">
        <f>AA623</f>
        <v>20.782448982875028</v>
      </c>
    </row>
    <row r="634" spans="1:28" x14ac:dyDescent="0.2">
      <c r="A634" s="345" t="s">
        <v>485</v>
      </c>
      <c r="B634" s="345" t="s">
        <v>622</v>
      </c>
      <c r="C634" s="385">
        <f>Pole2</f>
        <v>0.24106924251452713</v>
      </c>
      <c r="D634" s="385">
        <f>Q624</f>
        <v>86.976746101324323</v>
      </c>
      <c r="E634" s="385">
        <f>AA624</f>
        <v>59.391596578046332</v>
      </c>
    </row>
    <row r="635" spans="1:28" x14ac:dyDescent="0.2">
      <c r="A635" s="345" t="s">
        <v>480</v>
      </c>
      <c r="B635" s="345" t="s">
        <v>623</v>
      </c>
      <c r="C635" s="385">
        <f>Zero2</f>
        <v>779.14007575148753</v>
      </c>
      <c r="D635" s="385">
        <f>Q625</f>
        <v>19.363515601528128</v>
      </c>
      <c r="E635" s="385">
        <f>AA625</f>
        <v>55.951431852509799</v>
      </c>
    </row>
    <row r="636" spans="1:28" x14ac:dyDescent="0.2">
      <c r="A636" s="345" t="s">
        <v>478</v>
      </c>
      <c r="B636" s="345" t="s">
        <v>620</v>
      </c>
      <c r="C636" s="345">
        <f>pole3</f>
        <v>125000</v>
      </c>
      <c r="D636" s="385">
        <f>Q626</f>
        <v>-32.627377170589831</v>
      </c>
      <c r="E636" s="385">
        <f>AA626</f>
        <v>21.090197523381459</v>
      </c>
    </row>
    <row r="637" spans="1:28" x14ac:dyDescent="0.2">
      <c r="A637" s="345" t="s">
        <v>608</v>
      </c>
      <c r="B637" s="345" t="s">
        <v>624</v>
      </c>
      <c r="C637" s="441">
        <f>z_RHP</f>
        <v>33610.012463615807</v>
      </c>
      <c r="D637" s="385">
        <f>Q628</f>
        <v>-16.050077656113327</v>
      </c>
      <c r="E637" s="385">
        <f>AA628</f>
        <v>28.007275753534564</v>
      </c>
    </row>
    <row r="639" spans="1:28" x14ac:dyDescent="0.2">
      <c r="A639" s="385">
        <f>Q4*1000</f>
        <v>6760.8</v>
      </c>
    </row>
    <row r="640" spans="1:28" x14ac:dyDescent="0.2">
      <c r="A640" s="385">
        <f>Q4*1000</f>
        <v>6760.8</v>
      </c>
    </row>
    <row r="687" spans="30:31" x14ac:dyDescent="0.2">
      <c r="AD687" t="s">
        <v>48</v>
      </c>
      <c r="AE687" s="4">
        <f>SUM(AE689:AE1306)</f>
        <v>0</v>
      </c>
    </row>
  </sheetData>
  <mergeCells count="20">
    <mergeCell ref="X10:Y10"/>
    <mergeCell ref="AA10:AB10"/>
    <mergeCell ref="C11:D11"/>
    <mergeCell ref="E11:F11"/>
    <mergeCell ref="I11:J11"/>
    <mergeCell ref="K11:L11"/>
    <mergeCell ref="M11:N11"/>
    <mergeCell ref="O11:P11"/>
    <mergeCell ref="B10:B11"/>
    <mergeCell ref="A2:D2"/>
    <mergeCell ref="J2:L2"/>
    <mergeCell ref="M2:O2"/>
    <mergeCell ref="A10:A12"/>
    <mergeCell ref="O10:P10"/>
    <mergeCell ref="P2:R2"/>
    <mergeCell ref="G11:H11"/>
    <mergeCell ref="E2:G2"/>
    <mergeCell ref="C10:H10"/>
    <mergeCell ref="I10:N10"/>
    <mergeCell ref="Q10:S10"/>
  </mergeCells>
  <pageMargins left="0.75" right="0.75" top="1" bottom="1" header="0.5" footer="0.5"/>
  <pageSetup scale="48" orientation="portrait" horizontalDpi="300" verticalDpi="300" r:id="rId1"/>
  <headerFooter alignWithMargins="0"/>
  <colBreaks count="1" manualBreakCount="1">
    <brk id="19" max="1048575" man="1"/>
  </colBreaks>
  <ignoredErrors>
    <ignoredError sqref="F13 A628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2:P159"/>
  <sheetViews>
    <sheetView workbookViewId="0">
      <selection activeCell="N19" sqref="N19"/>
    </sheetView>
  </sheetViews>
  <sheetFormatPr defaultRowHeight="12.75" x14ac:dyDescent="0.2"/>
  <cols>
    <col min="1" max="1" width="17.28515625" customWidth="1"/>
    <col min="2" max="2" width="12" bestFit="1" customWidth="1"/>
    <col min="3" max="4" width="12.42578125" bestFit="1" customWidth="1"/>
    <col min="7" max="8" width="12.42578125" bestFit="1" customWidth="1"/>
    <col min="13" max="13" width="12.140625" customWidth="1"/>
    <col min="14" max="14" width="12.42578125" bestFit="1" customWidth="1"/>
    <col min="15" max="15" width="15.42578125" customWidth="1"/>
  </cols>
  <sheetData>
    <row r="2" spans="1:16" x14ac:dyDescent="0.2">
      <c r="A2" t="s">
        <v>193</v>
      </c>
      <c r="B2" t="s">
        <v>183</v>
      </c>
      <c r="C2" t="s">
        <v>33</v>
      </c>
      <c r="D2" t="s">
        <v>34</v>
      </c>
      <c r="E2" t="s">
        <v>27</v>
      </c>
      <c r="F2" t="s">
        <v>61</v>
      </c>
      <c r="G2" s="118" t="s">
        <v>438</v>
      </c>
      <c r="H2" s="118" t="s">
        <v>464</v>
      </c>
      <c r="I2" t="s">
        <v>191</v>
      </c>
      <c r="J2" t="s">
        <v>204</v>
      </c>
    </row>
    <row r="3" spans="1:16" x14ac:dyDescent="0.2">
      <c r="A3" t="s">
        <v>196</v>
      </c>
      <c r="B3">
        <f>Css</f>
        <v>9.3750000000000002E-8</v>
      </c>
      <c r="C3">
        <f>Cc1ea</f>
        <v>2.4444083464419047E-8</v>
      </c>
      <c r="D3">
        <f>Cc2ea</f>
        <v>5.0497254882817836E-10</v>
      </c>
      <c r="E3">
        <f>Cout</f>
        <v>5.9999999999999995E-4</v>
      </c>
      <c r="F3">
        <f>Cin</f>
        <v>1E-4</v>
      </c>
      <c r="G3">
        <f>Csideal*10^-12</f>
        <v>4.7000000000000003E-10</v>
      </c>
      <c r="H3">
        <f>N19</f>
        <v>4.1666666666666663E-8</v>
      </c>
      <c r="I3">
        <f>Csb</f>
        <v>1000</v>
      </c>
      <c r="J3">
        <f>Csby</f>
        <v>4.1666666666666663E-8</v>
      </c>
      <c r="M3" t="s">
        <v>198</v>
      </c>
      <c r="N3" t="s">
        <v>199</v>
      </c>
      <c r="O3" s="2" t="s">
        <v>195</v>
      </c>
    </row>
    <row r="4" spans="1:16" x14ac:dyDescent="0.2">
      <c r="A4" s="7" t="s">
        <v>195</v>
      </c>
      <c r="B4" s="7">
        <f>SUM(B6:B158)/1000000000000</f>
        <v>9.9999999999999995E-8</v>
      </c>
      <c r="C4" s="7">
        <f>SUM(C6:C158)/1000000000000000</f>
        <v>2.2000000000000002E-11</v>
      </c>
      <c r="D4" s="7">
        <f>SUM(D6:D158)/1000000000000</f>
        <v>4.7000000000000003E-10</v>
      </c>
      <c r="E4" s="7">
        <f>SUM(E6:E158)/1000000000000</f>
        <v>5.5999999999999995E-4</v>
      </c>
      <c r="F4" s="7">
        <f>SUM(F6:F158)/1000000000000</f>
        <v>1E-4</v>
      </c>
      <c r="G4" s="7">
        <f>SUM(G6:G158)/1000000000000</f>
        <v>4.7000000000000003E-10</v>
      </c>
      <c r="H4" s="7">
        <f t="shared" ref="H4:J4" si="0">IF(H3="OPEN","OPEN",SUM(H6:H158)/1000000000000)</f>
        <v>3.8999999999999998E-8</v>
      </c>
      <c r="I4" s="7">
        <f t="shared" si="0"/>
        <v>0</v>
      </c>
      <c r="J4" s="7">
        <f t="shared" si="0"/>
        <v>3.8999999999999998E-8</v>
      </c>
      <c r="M4" s="118" t="s">
        <v>359</v>
      </c>
      <c r="N4">
        <f>Rfadj</f>
        <v>32844.827586206899</v>
      </c>
      <c r="O4" s="2">
        <f t="shared" ref="O4:O9" si="1">IF(N4&gt;(INT(0.5+100*POWER(10,IF(96*(LOG(N4)-INT(LOG(N4)))-ROUND(96*(LOG(N4)-INT(LOG(N4))),0)&lt;0,ROUND(96*(LOG(N4)-INT(LOG(N4))),0)-1,ROUND(96*(LOG(N4)-INT(LOG(N4))),0))/96))*POWER(10,INT(LOG(N4))-2)+INT(0.5+100*POWER(10,(IF(96*(LOG(N4)-INT(LOG(N4)))-ROUND(96*(LOG(N4)-INT(LOG(N4))),0)&lt;0,ROUND(96*(LOG(N4)-INT(LOG(N4))),0)-1,ROUND(96*(LOG(N4)-INT(LOG(N4))),0))+1)/96))*POWER(10,INT(LOG(N4))-2))/2,INT(0.5+100*POWER(10,(IF(96*(LOG(N4)-INT(LOG(N4)))-ROUND(96*(LOG(N4)-INT(LOG(N4))),0)&lt;0,ROUND(96*(LOG(N4)-INT(LOG(N4))),0)-1,ROUND(96*(LOG(N4)-INT(LOG(N4))),0))+1)/96))*POWER(10,INT(LOG(N4))-2),INT(0.5+100*POWER(10,IF(96*(LOG(N4)-INT(LOG(N4)))-ROUND(96*(LOG(N4)-INT(LOG(N4))),0)&lt;0,ROUND(96*(LOG(N4)-INT(LOG(N4))),0)-1,ROUND(96*(LOG(N4)-INT(LOG(N4))),0))/96))*POWER(10,INT(LOG(N4))-2))</f>
        <v>33200</v>
      </c>
      <c r="P4" s="45" t="s">
        <v>347</v>
      </c>
    </row>
    <row r="5" spans="1:16" x14ac:dyDescent="0.2">
      <c r="A5" t="s">
        <v>194</v>
      </c>
      <c r="O5" s="2"/>
      <c r="P5" s="45"/>
    </row>
    <row r="6" spans="1:16" x14ac:dyDescent="0.2">
      <c r="A6">
        <v>0.47</v>
      </c>
      <c r="B6">
        <f t="shared" ref="B6:J6" si="2">IF(IF((B$3*10^12-$A7)*(B$3*10^12-$A6)*-1&lt;0,0,1)*IF(ABS(B$3*10^12-$A7)&gt;(B$3*10^12-$A6),$A6,$A7)=B7,0,IF((B$3*10^12-$A7)*(B$3*10^12-$A6)*-1&lt;0,0,1)*IF(ABS(B$3*10^12-$A7)&gt;(B$3*10^12-$A6),$A6,$A7))</f>
        <v>0</v>
      </c>
      <c r="C6">
        <f t="shared" si="2"/>
        <v>0</v>
      </c>
      <c r="D6">
        <f t="shared" si="2"/>
        <v>0</v>
      </c>
      <c r="E6">
        <f t="shared" si="2"/>
        <v>0</v>
      </c>
      <c r="F6">
        <f t="shared" si="2"/>
        <v>0</v>
      </c>
      <c r="G6">
        <f t="shared" si="2"/>
        <v>0</v>
      </c>
      <c r="H6">
        <f t="shared" si="2"/>
        <v>0</v>
      </c>
      <c r="I6">
        <f t="shared" si="2"/>
        <v>0</v>
      </c>
      <c r="J6">
        <f t="shared" si="2"/>
        <v>0</v>
      </c>
      <c r="M6" s="118" t="s">
        <v>454</v>
      </c>
      <c r="N6" s="53">
        <f>Rshunt</f>
        <v>4.166666666666667</v>
      </c>
      <c r="O6" s="2">
        <f t="shared" si="1"/>
        <v>4.12</v>
      </c>
      <c r="P6" s="45" t="s">
        <v>347</v>
      </c>
    </row>
    <row r="7" spans="1:16" x14ac:dyDescent="0.2">
      <c r="A7">
        <v>0.56000000000000005</v>
      </c>
      <c r="B7">
        <f t="shared" ref="B7:B70" si="3">IF(IF((B$3*10^12-$A8)*(B$3*10^12-$A7)*-1&lt;0,0,1)*IF(ABS(B$3*10^12-$A8)&gt;(B$3*10^12-$A7),$A7,$A8)=B8,0,IF((B$3*10^12-$A8)*(B$3*10^12-$A7)*-1&lt;0,0,1)*IF(ABS(B$3*10^12-$A8)&gt;(B$3*10^12-$A7),$A7,$A8))</f>
        <v>0</v>
      </c>
      <c r="C7">
        <f t="shared" ref="C7:C38" si="4">IF(IF((C$3*10^12-$A8)*(C$3*10^12-$A7)*-1&lt;0,0,1)*IF(ABS(C$3*10^12-$A8)&gt;(C$3*10^12-$A7),$A7,$A8)=C8,0,IF((C$3*10^12-$A8)*(C$3*10^12-$A7)*-1&lt;0,0,1)*IF(ABS(C$3*10^12-$A8)&gt;(C$3*10^12-$A7),$A7,$A8))</f>
        <v>0</v>
      </c>
      <c r="D7">
        <f t="shared" ref="D7:D69" si="5">IF(IF((D$3*10^12-$A8)*(D$3*10^12-$A7)*-1&lt;0,0,1)*IF(ABS(D$3*10^12-$A8)&gt;(D$3*10^12-$A7),$A7,$A8)=D8,0,IF((D$3*10^12-$A8)*(D$3*10^12-$A7)*-1&lt;0,0,1)*IF(ABS(D$3*10^12-$A8)&gt;(D$3*10^12-$A7),$A7,$A8))</f>
        <v>0</v>
      </c>
      <c r="E7">
        <f t="shared" ref="E7:E69" si="6">IF(IF((E$3*10^12-$A8)*(E$3*10^12-$A7)*-1&lt;0,0,1)*IF(ABS(E$3*10^12-$A8)&gt;(E$3*10^12-$A7),$A7,$A8)=E8,0,IF((E$3*10^12-$A8)*(E$3*10^12-$A7)*-1&lt;0,0,1)*IF(ABS(E$3*10^12-$A8)&gt;(E$3*10^12-$A7),$A7,$A8))</f>
        <v>0</v>
      </c>
      <c r="F7">
        <f t="shared" ref="F7:F69" si="7">IF(IF((F$3*10^12-$A8)*(F$3*10^12-$A7)*-1&lt;0,0,1)*IF(ABS(F$3*10^12-$A8)&gt;(F$3*10^12-$A7),$A7,$A8)=F8,0,IF((F$3*10^12-$A8)*(F$3*10^12-$A7)*-1&lt;0,0,1)*IF(ABS(F$3*10^12-$A8)&gt;(F$3*10^12-$A7),$A7,$A8))</f>
        <v>0</v>
      </c>
      <c r="G7">
        <f t="shared" ref="G7:J69" si="8">IF(IF((G$3*10^12-$A8)*(G$3*10^12-$A7)*-1&lt;0,0,1)*IF(ABS(G$3*10^12-$A8)&gt;(G$3*10^12-$A7),$A7,$A8)=G8,0,IF((G$3*10^12-$A8)*(G$3*10^12-$A7)*-1&lt;0,0,1)*IF(ABS(G$3*10^12-$A8)&gt;(G$3*10^12-$A7),$A7,$A8))</f>
        <v>0</v>
      </c>
      <c r="H7">
        <f t="shared" si="8"/>
        <v>0</v>
      </c>
      <c r="I7">
        <f t="shared" si="8"/>
        <v>0</v>
      </c>
      <c r="J7">
        <f t="shared" si="8"/>
        <v>0</v>
      </c>
      <c r="M7" t="s">
        <v>215</v>
      </c>
      <c r="N7">
        <f>Rcea1</f>
        <v>6125.6598746290565</v>
      </c>
      <c r="O7" s="2">
        <f t="shared" si="1"/>
        <v>6190</v>
      </c>
      <c r="P7" s="45" t="s">
        <v>347</v>
      </c>
    </row>
    <row r="8" spans="1:16" x14ac:dyDescent="0.2">
      <c r="A8">
        <v>0.68</v>
      </c>
      <c r="B8">
        <f t="shared" si="3"/>
        <v>0</v>
      </c>
      <c r="C8">
        <f t="shared" si="4"/>
        <v>0</v>
      </c>
      <c r="D8">
        <f t="shared" si="5"/>
        <v>0</v>
      </c>
      <c r="E8">
        <f t="shared" si="6"/>
        <v>0</v>
      </c>
      <c r="F8">
        <f t="shared" si="7"/>
        <v>0</v>
      </c>
      <c r="G8">
        <f t="shared" si="8"/>
        <v>0</v>
      </c>
      <c r="H8">
        <f t="shared" si="8"/>
        <v>0</v>
      </c>
      <c r="I8">
        <f t="shared" si="8"/>
        <v>0</v>
      </c>
      <c r="J8">
        <f t="shared" si="8"/>
        <v>0</v>
      </c>
      <c r="O8" s="2"/>
      <c r="P8" s="45"/>
    </row>
    <row r="9" spans="1:16" x14ac:dyDescent="0.2">
      <c r="A9">
        <v>0.82</v>
      </c>
      <c r="B9">
        <f t="shared" si="3"/>
        <v>0</v>
      </c>
      <c r="C9">
        <f t="shared" si="4"/>
        <v>0</v>
      </c>
      <c r="D9">
        <f t="shared" si="5"/>
        <v>0</v>
      </c>
      <c r="E9">
        <f t="shared" si="6"/>
        <v>0</v>
      </c>
      <c r="F9">
        <f t="shared" si="7"/>
        <v>0</v>
      </c>
      <c r="G9">
        <f t="shared" si="8"/>
        <v>0</v>
      </c>
      <c r="H9">
        <f t="shared" si="8"/>
        <v>0</v>
      </c>
      <c r="I9">
        <f t="shared" si="8"/>
        <v>0</v>
      </c>
      <c r="J9">
        <f t="shared" si="8"/>
        <v>0</v>
      </c>
      <c r="M9" t="s">
        <v>31</v>
      </c>
      <c r="N9">
        <f>Rfb1_</f>
        <v>280000</v>
      </c>
      <c r="O9" s="2">
        <f t="shared" si="1"/>
        <v>280000</v>
      </c>
      <c r="P9" s="45" t="s">
        <v>347</v>
      </c>
    </row>
    <row r="10" spans="1:16" x14ac:dyDescent="0.2">
      <c r="A10">
        <v>1</v>
      </c>
      <c r="B10">
        <f t="shared" si="3"/>
        <v>0</v>
      </c>
      <c r="C10">
        <f t="shared" si="4"/>
        <v>0</v>
      </c>
      <c r="D10">
        <f t="shared" si="5"/>
        <v>0</v>
      </c>
      <c r="E10">
        <f t="shared" si="6"/>
        <v>0</v>
      </c>
      <c r="F10">
        <f t="shared" si="7"/>
        <v>0</v>
      </c>
      <c r="G10">
        <f t="shared" si="8"/>
        <v>0</v>
      </c>
      <c r="H10">
        <f t="shared" si="8"/>
        <v>0</v>
      </c>
      <c r="I10">
        <f t="shared" si="8"/>
        <v>0</v>
      </c>
      <c r="J10">
        <f t="shared" si="8"/>
        <v>0</v>
      </c>
      <c r="M10" t="s">
        <v>43</v>
      </c>
      <c r="N10">
        <f>Rfb2_</f>
        <v>20000</v>
      </c>
      <c r="O10" s="2">
        <f>IF(N10="OPEN","OPEN",IF(N10&gt;(INT(0.5+100*POWER(10,IF(96*(LOG(N10)-INT(LOG(N10)))-ROUND(96*(LOG(N10)-INT(LOG(N10))),0)&lt;0,ROUND(96*(LOG(N10)-INT(LOG(N10))),0)-1,ROUND(96*(LOG(N10)-INT(LOG(N10))),0))/96))*POWER(10,INT(LOG(N10))-2)+INT(0.5+100*POWER(10,(IF(96*(LOG(N10)-INT(LOG(N10)))-ROUND(96*(LOG(N10)-INT(LOG(N10))),0)&lt;0,ROUND(96*(LOG(N10)-INT(LOG(N10))),0)-1,ROUND(96*(LOG(N10)-INT(LOG(N10))),0))+1)/96))*POWER(10,INT(LOG(N10))-2))/2,INT(0.5+100*POWER(10,(IF(96*(LOG(N10)-INT(LOG(N10)))-ROUND(96*(LOG(N10)-INT(LOG(N10))),0)&lt;0,ROUND(96*(LOG(N10)-INT(LOG(N10))),0)-1,ROUND(96*(LOG(N10)-INT(LOG(N10))),0))+1)/96))*POWER(10,INT(LOG(N10))-2),INT(0.5+100*POWER(10,IF(96*(LOG(N10)-INT(LOG(N10)))-ROUND(96*(LOG(N10)-INT(LOG(N10))),0)&lt;0,ROUND(96*(LOG(N10)-INT(LOG(N10))),0)-1,ROUND(96*(LOG(N10)-INT(LOG(N10))),0))/96))*POWER(10,INT(LOG(N10))-2)))</f>
        <v>20000</v>
      </c>
      <c r="P10" s="45" t="s">
        <v>347</v>
      </c>
    </row>
    <row r="11" spans="1:16" x14ac:dyDescent="0.2">
      <c r="A11">
        <v>1.2</v>
      </c>
      <c r="B11">
        <f t="shared" si="3"/>
        <v>0</v>
      </c>
      <c r="C11">
        <f t="shared" si="4"/>
        <v>0</v>
      </c>
      <c r="D11">
        <f t="shared" si="5"/>
        <v>0</v>
      </c>
      <c r="E11">
        <f t="shared" si="6"/>
        <v>0</v>
      </c>
      <c r="F11">
        <f t="shared" si="7"/>
        <v>0</v>
      </c>
      <c r="G11">
        <f t="shared" si="8"/>
        <v>0</v>
      </c>
      <c r="H11">
        <f t="shared" si="8"/>
        <v>0</v>
      </c>
      <c r="I11">
        <f t="shared" si="8"/>
        <v>0</v>
      </c>
      <c r="J11">
        <f t="shared" si="8"/>
        <v>0</v>
      </c>
      <c r="O11" s="2"/>
    </row>
    <row r="12" spans="1:16" x14ac:dyDescent="0.2">
      <c r="A12">
        <v>1.5</v>
      </c>
      <c r="B12">
        <f t="shared" si="3"/>
        <v>0</v>
      </c>
      <c r="C12">
        <f t="shared" si="4"/>
        <v>0</v>
      </c>
      <c r="D12">
        <f t="shared" si="5"/>
        <v>0</v>
      </c>
      <c r="E12">
        <f t="shared" si="6"/>
        <v>0</v>
      </c>
      <c r="F12">
        <f t="shared" si="7"/>
        <v>0</v>
      </c>
      <c r="G12">
        <f t="shared" si="8"/>
        <v>0</v>
      </c>
      <c r="H12">
        <f t="shared" si="8"/>
        <v>0</v>
      </c>
      <c r="I12">
        <f t="shared" si="8"/>
        <v>0</v>
      </c>
      <c r="J12">
        <f t="shared" si="8"/>
        <v>0</v>
      </c>
      <c r="O12" s="2"/>
    </row>
    <row r="13" spans="1:16" x14ac:dyDescent="0.2">
      <c r="A13">
        <v>1.8</v>
      </c>
      <c r="B13">
        <f t="shared" si="3"/>
        <v>0</v>
      </c>
      <c r="C13">
        <f t="shared" si="4"/>
        <v>0</v>
      </c>
      <c r="D13">
        <f t="shared" si="5"/>
        <v>0</v>
      </c>
      <c r="E13">
        <f t="shared" si="6"/>
        <v>0</v>
      </c>
      <c r="F13">
        <f t="shared" si="7"/>
        <v>0</v>
      </c>
      <c r="G13">
        <f t="shared" si="8"/>
        <v>0</v>
      </c>
      <c r="H13">
        <f t="shared" si="8"/>
        <v>0</v>
      </c>
      <c r="I13">
        <f t="shared" si="8"/>
        <v>0</v>
      </c>
      <c r="J13">
        <f t="shared" si="8"/>
        <v>0</v>
      </c>
      <c r="M13" s="118" t="s">
        <v>200</v>
      </c>
      <c r="N13">
        <f>Rs_ideal*1000</f>
        <v>4.2897145579211973</v>
      </c>
      <c r="O13" s="2">
        <f>IF(N13=0,0,IF(N13&gt;(INT(0.5+100*POWER(10,IF(96*(LOG(N13)-INT(LOG(N13)))-ROUND(96*(LOG(N13)-INT(LOG(N13))),0)&lt;0,ROUND(96*(LOG(N13)-INT(LOG(N13))),0)-1,ROUND(96*(LOG(N13)-INT(LOG(N13))),0))/96))*POWER(10,INT(LOG(N13))-2)+INT(0.5+100*POWER(10,(IF(96*(LOG(N13)-INT(LOG(N13)))-ROUND(96*(LOG(N13)-INT(LOG(N13))),0)&lt;0,ROUND(96*(LOG(N13)-INT(LOG(N13))),0)-1,ROUND(96*(LOG(N13)-INT(LOG(N13))),0))+1)/96))*POWER(10,INT(LOG(N13))-2))/2,INT(0.5+100*POWER(10,(IF(96*(LOG(N13)-INT(LOG(N13)))-ROUND(96*(LOG(N13)-INT(LOG(N13))),0)&lt;0,ROUND(96*(LOG(N13)-INT(LOG(N13))),0)-1,ROUND(96*(LOG(N13)-INT(LOG(N13))),0))+1)/96))*POWER(10,INT(LOG(N13))-2),INT(0.5+100*POWER(10,IF(96*(LOG(N13)-INT(LOG(N13)))-ROUND(96*(LOG(N13)-INT(LOG(N13))),0)&lt;0,ROUND(96*(LOG(N13)-INT(LOG(N13))),0)-1,ROUND(96*(LOG(N13)-INT(LOG(N13))),0))/96))*POWER(10,INT(LOG(N13))-2)))</f>
        <v>4.32</v>
      </c>
      <c r="P13" s="45" t="s">
        <v>437</v>
      </c>
    </row>
    <row r="14" spans="1:16" x14ac:dyDescent="0.2">
      <c r="A14">
        <v>2.2000000000000002</v>
      </c>
      <c r="B14">
        <f t="shared" ref="B14:J14" si="9">IF(IF((B$3*10^12-$A15)*(B$3*10^12-$A14)*-1&lt;0,0,1)*IF(ABS(B$3*10^12-$A15)&gt;(B$3*10^12-$A14),$A14,$A15)=B15,0,IF((B$3*10^12-$A15)*(B$3*10^12-$A14)*-1&lt;0,0,1)*IF(ABS(B$3*10^12-$A15)&gt;(B$3*10^12-$A14),$A14,$A15))</f>
        <v>0</v>
      </c>
      <c r="C14">
        <f t="shared" si="9"/>
        <v>0</v>
      </c>
      <c r="D14">
        <f t="shared" si="9"/>
        <v>0</v>
      </c>
      <c r="E14">
        <f t="shared" si="9"/>
        <v>0</v>
      </c>
      <c r="F14">
        <f t="shared" si="9"/>
        <v>0</v>
      </c>
      <c r="G14">
        <f t="shared" si="9"/>
        <v>0</v>
      </c>
      <c r="H14">
        <f t="shared" si="9"/>
        <v>0</v>
      </c>
      <c r="I14">
        <f t="shared" si="9"/>
        <v>0</v>
      </c>
      <c r="J14">
        <f t="shared" si="9"/>
        <v>0</v>
      </c>
      <c r="M14" s="118" t="s">
        <v>436</v>
      </c>
      <c r="N14">
        <f>Cslope_ideal</f>
        <v>470.00000000000006</v>
      </c>
      <c r="O14">
        <f>G4*1000000000000</f>
        <v>470.00000000000006</v>
      </c>
      <c r="P14" s="118" t="s">
        <v>32</v>
      </c>
    </row>
    <row r="15" spans="1:16" x14ac:dyDescent="0.2">
      <c r="A15">
        <v>2.7</v>
      </c>
      <c r="B15">
        <f t="shared" si="3"/>
        <v>0</v>
      </c>
      <c r="C15">
        <f t="shared" si="4"/>
        <v>0</v>
      </c>
      <c r="D15">
        <f t="shared" si="5"/>
        <v>0</v>
      </c>
      <c r="E15">
        <f t="shared" si="6"/>
        <v>0</v>
      </c>
      <c r="F15">
        <f t="shared" si="7"/>
        <v>0</v>
      </c>
      <c r="G15">
        <f t="shared" si="8"/>
        <v>0</v>
      </c>
      <c r="H15">
        <f t="shared" si="8"/>
        <v>0</v>
      </c>
      <c r="I15">
        <f t="shared" si="8"/>
        <v>0</v>
      </c>
      <c r="J15">
        <f t="shared" si="8"/>
        <v>0</v>
      </c>
    </row>
    <row r="16" spans="1:16" x14ac:dyDescent="0.2">
      <c r="A16">
        <v>3.3</v>
      </c>
      <c r="B16">
        <f t="shared" si="3"/>
        <v>0</v>
      </c>
      <c r="C16">
        <f t="shared" si="4"/>
        <v>0</v>
      </c>
      <c r="D16">
        <f t="shared" si="5"/>
        <v>0</v>
      </c>
      <c r="E16">
        <f t="shared" si="6"/>
        <v>0</v>
      </c>
      <c r="F16">
        <f t="shared" si="7"/>
        <v>0</v>
      </c>
      <c r="G16">
        <f t="shared" si="8"/>
        <v>0</v>
      </c>
      <c r="H16">
        <f t="shared" si="8"/>
        <v>0</v>
      </c>
      <c r="I16">
        <f t="shared" si="8"/>
        <v>0</v>
      </c>
      <c r="J16">
        <f t="shared" si="8"/>
        <v>0</v>
      </c>
      <c r="M16" s="118" t="s">
        <v>340</v>
      </c>
      <c r="N16">
        <f>Ruvlo1</f>
        <v>249</v>
      </c>
      <c r="O16" s="2">
        <f>IF(N16="OPEN","OPEN",IF(N16&gt;(INT(0.5+100*POWER(10,IF(96*(LOG(N16)-INT(LOG(N16)))-ROUND(96*(LOG(N16)-INT(LOG(N16))),0)&lt;0,ROUND(96*(LOG(N16)-INT(LOG(N16))),0)-1,ROUND(96*(LOG(N16)-INT(LOG(N16))),0))/96))*POWER(10,INT(LOG(N16))-2)+INT(0.5+100*POWER(10,(IF(96*(LOG(N16)-INT(LOG(N16)))-ROUND(96*(LOG(N16)-INT(LOG(N16))),0)&lt;0,ROUND(96*(LOG(N16)-INT(LOG(N16))),0)-1,ROUND(96*(LOG(N16)-INT(LOG(N16))),0))+1)/96))*POWER(10,INT(LOG(N16))-2))/2,INT(0.5+100*POWER(10,(IF(96*(LOG(N16)-INT(LOG(N16)))-ROUND(96*(LOG(N16)-INT(LOG(N16))),0)&lt;0,ROUND(96*(LOG(N16)-INT(LOG(N16))),0)-1,ROUND(96*(LOG(N16)-INT(LOG(N16))),0))+1)/96))*POWER(10,INT(LOG(N16))-2),INT(0.5+100*POWER(10,IF(96*(LOG(N16)-INT(LOG(N16)))-ROUND(96*(LOG(N16)-INT(LOG(N16))),0)&lt;0,ROUND(96*(LOG(N16)-INT(LOG(N16))),0)-1,ROUND(96*(LOG(N16)-INT(LOG(N16))),0))/96))*POWER(10,INT(LOG(N16))-2)))</f>
        <v>249</v>
      </c>
      <c r="P16" s="45" t="s">
        <v>309</v>
      </c>
    </row>
    <row r="17" spans="1:16" x14ac:dyDescent="0.2">
      <c r="A17">
        <v>3.9</v>
      </c>
      <c r="B17">
        <f t="shared" si="3"/>
        <v>0</v>
      </c>
      <c r="C17">
        <f t="shared" si="4"/>
        <v>0</v>
      </c>
      <c r="D17">
        <f t="shared" si="5"/>
        <v>0</v>
      </c>
      <c r="E17">
        <f t="shared" si="6"/>
        <v>0</v>
      </c>
      <c r="F17">
        <f t="shared" si="7"/>
        <v>0</v>
      </c>
      <c r="G17">
        <f t="shared" si="8"/>
        <v>0</v>
      </c>
      <c r="H17">
        <f t="shared" si="8"/>
        <v>0</v>
      </c>
      <c r="I17">
        <f t="shared" si="8"/>
        <v>0</v>
      </c>
      <c r="J17">
        <f t="shared" si="8"/>
        <v>0</v>
      </c>
      <c r="M17" s="118" t="s">
        <v>341</v>
      </c>
      <c r="N17">
        <f>Ruvlo2</f>
        <v>57.828710666082877</v>
      </c>
      <c r="O17" s="2">
        <f>IF(N17="OPEN","OPEN",IF(N17&gt;(INT(0.5+100*POWER(10,IF(96*(LOG(N17)-INT(LOG(N17)))-ROUND(96*(LOG(N17)-INT(LOG(N17))),0)&lt;0,ROUND(96*(LOG(N17)-INT(LOG(N17))),0)-1,ROUND(96*(LOG(N17)-INT(LOG(N17))),0))/96))*POWER(10,INT(LOG(N17))-2)+INT(0.5+100*POWER(10,(IF(96*(LOG(N17)-INT(LOG(N17)))-ROUND(96*(LOG(N17)-INT(LOG(N17))),0)&lt;0,ROUND(96*(LOG(N17)-INT(LOG(N17))),0)-1,ROUND(96*(LOG(N17)-INT(LOG(N17))),0))+1)/96))*POWER(10,INT(LOG(N17))-2))/2,INT(0.5+100*POWER(10,(IF(96*(LOG(N17)-INT(LOG(N17)))-ROUND(96*(LOG(N17)-INT(LOG(N17))),0)&lt;0,ROUND(96*(LOG(N17)-INT(LOG(N17))),0)-1,ROUND(96*(LOG(N17)-INT(LOG(N17))),0))+1)/96))*POWER(10,INT(LOG(N17))-2),INT(0.5+100*POWER(10,IF(96*(LOG(N17)-INT(LOG(N17)))-ROUND(96*(LOG(N17)-INT(LOG(N17))),0)&lt;0,ROUND(96*(LOG(N17)-INT(LOG(N17))),0)-1,ROUND(96*(LOG(N17)-INT(LOG(N17))),0))/96))*POWER(10,INT(LOG(N17))-2)))</f>
        <v>57.6</v>
      </c>
      <c r="P17" s="45" t="s">
        <v>309</v>
      </c>
    </row>
    <row r="18" spans="1:16" x14ac:dyDescent="0.2">
      <c r="A18">
        <v>4.7</v>
      </c>
      <c r="B18">
        <f t="shared" si="3"/>
        <v>0</v>
      </c>
      <c r="C18">
        <f t="shared" si="4"/>
        <v>0</v>
      </c>
      <c r="D18">
        <f t="shared" si="5"/>
        <v>0</v>
      </c>
      <c r="E18">
        <f t="shared" si="6"/>
        <v>0</v>
      </c>
      <c r="F18">
        <f t="shared" si="7"/>
        <v>0</v>
      </c>
      <c r="G18">
        <f t="shared" si="8"/>
        <v>0</v>
      </c>
      <c r="H18">
        <f t="shared" si="8"/>
        <v>0</v>
      </c>
      <c r="I18">
        <f t="shared" si="8"/>
        <v>0</v>
      </c>
      <c r="J18">
        <f t="shared" si="8"/>
        <v>0</v>
      </c>
      <c r="O18" s="2"/>
    </row>
    <row r="19" spans="1:16" x14ac:dyDescent="0.2">
      <c r="A19">
        <v>5.6</v>
      </c>
      <c r="B19">
        <f t="shared" si="3"/>
        <v>0</v>
      </c>
      <c r="C19">
        <f t="shared" si="4"/>
        <v>0</v>
      </c>
      <c r="D19">
        <f t="shared" si="5"/>
        <v>0</v>
      </c>
      <c r="E19">
        <f t="shared" si="6"/>
        <v>0</v>
      </c>
      <c r="F19">
        <f t="shared" si="7"/>
        <v>0</v>
      </c>
      <c r="G19">
        <f t="shared" si="8"/>
        <v>0</v>
      </c>
      <c r="H19">
        <f t="shared" si="8"/>
        <v>0</v>
      </c>
      <c r="I19">
        <f t="shared" si="8"/>
        <v>0</v>
      </c>
      <c r="J19">
        <f t="shared" si="8"/>
        <v>0</v>
      </c>
      <c r="M19" s="118" t="s">
        <v>464</v>
      </c>
      <c r="N19">
        <f>Csby</f>
        <v>4.1666666666666663E-8</v>
      </c>
      <c r="O19" s="2">
        <f>H4</f>
        <v>3.8999999999999998E-8</v>
      </c>
    </row>
    <row r="20" spans="1:16" x14ac:dyDescent="0.2">
      <c r="A20">
        <v>6.8</v>
      </c>
      <c r="B20">
        <f t="shared" si="3"/>
        <v>0</v>
      </c>
      <c r="C20">
        <f t="shared" si="4"/>
        <v>0</v>
      </c>
      <c r="D20">
        <f t="shared" si="5"/>
        <v>0</v>
      </c>
      <c r="E20">
        <f t="shared" si="6"/>
        <v>0</v>
      </c>
      <c r="F20">
        <f t="shared" si="7"/>
        <v>0</v>
      </c>
      <c r="G20">
        <f t="shared" si="8"/>
        <v>0</v>
      </c>
      <c r="H20">
        <f t="shared" si="8"/>
        <v>0</v>
      </c>
      <c r="I20">
        <f t="shared" si="8"/>
        <v>0</v>
      </c>
      <c r="J20">
        <f t="shared" si="8"/>
        <v>0</v>
      </c>
      <c r="O20" s="2"/>
    </row>
    <row r="21" spans="1:16" x14ac:dyDescent="0.2">
      <c r="A21">
        <v>8.1999999999999993</v>
      </c>
      <c r="B21">
        <f t="shared" si="3"/>
        <v>0</v>
      </c>
      <c r="C21">
        <f t="shared" si="4"/>
        <v>0</v>
      </c>
      <c r="D21">
        <f t="shared" si="5"/>
        <v>0</v>
      </c>
      <c r="E21">
        <f t="shared" si="6"/>
        <v>0</v>
      </c>
      <c r="F21">
        <f t="shared" si="7"/>
        <v>0</v>
      </c>
      <c r="G21">
        <f t="shared" si="8"/>
        <v>0</v>
      </c>
      <c r="H21">
        <f t="shared" si="8"/>
        <v>0</v>
      </c>
      <c r="I21">
        <f t="shared" si="8"/>
        <v>0</v>
      </c>
      <c r="J21">
        <f t="shared" si="8"/>
        <v>0</v>
      </c>
      <c r="M21" s="118" t="s">
        <v>454</v>
      </c>
      <c r="N21" s="335">
        <f>Rshunt</f>
        <v>4.166666666666667</v>
      </c>
      <c r="O21" s="2">
        <f>IF(N21=0,0,IF(N21&gt;(INT(0.5+100*POWER(10,IF(96*(LOG(N21)-INT(LOG(N21)))-ROUND(96*(LOG(N21)-INT(LOG(N21))),0)&lt;0,ROUND(96*(LOG(N21)-INT(LOG(N21))),0)-1,ROUND(96*(LOG(N21)-INT(LOG(N21))),0))/96))*POWER(10,INT(LOG(N21))-2)+INT(0.5+100*POWER(10,(IF(96*(LOG(N21)-INT(LOG(N21)))-ROUND(96*(LOG(N21)-INT(LOG(N21))),0)&lt;0,ROUND(96*(LOG(N21)-INT(LOG(N21))),0)-1,ROUND(96*(LOG(N21)-INT(LOG(N21))),0))+1)/96))*POWER(10,INT(LOG(N21))-2))/2,INT(0.5+100*POWER(10,(IF(96*(LOG(N21)-INT(LOG(N21)))-ROUND(96*(LOG(N21)-INT(LOG(N21))),0)&lt;0,ROUND(96*(LOG(N21)-INT(LOG(N21))),0)-1,ROUND(96*(LOG(N21)-INT(LOG(N21))),0))+1)/96))*POWER(10,INT(LOG(N21))-2),INT(0.5+100*POWER(10,IF(96*(LOG(N21)-INT(LOG(N21)))-ROUND(96*(LOG(N21)-INT(LOG(N21))),0)&lt;0,ROUND(96*(LOG(N21)-INT(LOG(N21))),0)-1,ROUND(96*(LOG(N21)-INT(LOG(N21))),0))/96))*POWER(10,INT(LOG(N21))-2)))</f>
        <v>4.12</v>
      </c>
      <c r="P21" s="45" t="s">
        <v>437</v>
      </c>
    </row>
    <row r="22" spans="1:16" x14ac:dyDescent="0.2">
      <c r="A22">
        <v>10</v>
      </c>
      <c r="B22">
        <f t="shared" si="3"/>
        <v>0</v>
      </c>
      <c r="C22">
        <f t="shared" si="4"/>
        <v>0</v>
      </c>
      <c r="D22">
        <f t="shared" si="5"/>
        <v>0</v>
      </c>
      <c r="E22">
        <f t="shared" si="6"/>
        <v>0</v>
      </c>
      <c r="F22">
        <f t="shared" si="7"/>
        <v>0</v>
      </c>
      <c r="G22">
        <f t="shared" si="8"/>
        <v>0</v>
      </c>
      <c r="H22">
        <f t="shared" si="8"/>
        <v>0</v>
      </c>
      <c r="I22">
        <f t="shared" si="8"/>
        <v>0</v>
      </c>
      <c r="J22">
        <f t="shared" si="8"/>
        <v>0</v>
      </c>
    </row>
    <row r="23" spans="1:16" x14ac:dyDescent="0.2">
      <c r="A23">
        <v>12</v>
      </c>
      <c r="B23">
        <f t="shared" si="3"/>
        <v>0</v>
      </c>
      <c r="C23">
        <f t="shared" si="4"/>
        <v>0</v>
      </c>
      <c r="D23">
        <f t="shared" si="5"/>
        <v>0</v>
      </c>
      <c r="E23">
        <f t="shared" si="6"/>
        <v>0</v>
      </c>
      <c r="F23">
        <f t="shared" si="7"/>
        <v>0</v>
      </c>
      <c r="G23">
        <f t="shared" si="8"/>
        <v>0</v>
      </c>
      <c r="H23">
        <f t="shared" si="8"/>
        <v>0</v>
      </c>
      <c r="I23">
        <f t="shared" si="8"/>
        <v>0</v>
      </c>
      <c r="J23">
        <f t="shared" si="8"/>
        <v>0</v>
      </c>
      <c r="O23" s="2"/>
    </row>
    <row r="24" spans="1:16" x14ac:dyDescent="0.2">
      <c r="A24">
        <v>15</v>
      </c>
      <c r="B24">
        <f t="shared" si="3"/>
        <v>0</v>
      </c>
      <c r="C24">
        <f t="shared" si="4"/>
        <v>0</v>
      </c>
      <c r="D24">
        <f t="shared" si="5"/>
        <v>0</v>
      </c>
      <c r="E24">
        <f t="shared" si="6"/>
        <v>0</v>
      </c>
      <c r="F24">
        <f t="shared" si="7"/>
        <v>0</v>
      </c>
      <c r="G24">
        <f t="shared" si="8"/>
        <v>0</v>
      </c>
      <c r="H24">
        <f t="shared" si="8"/>
        <v>0</v>
      </c>
      <c r="I24">
        <f t="shared" si="8"/>
        <v>0</v>
      </c>
      <c r="J24">
        <f t="shared" si="8"/>
        <v>0</v>
      </c>
      <c r="M24" s="118"/>
      <c r="O24" s="2"/>
      <c r="P24" s="45"/>
    </row>
    <row r="25" spans="1:16" x14ac:dyDescent="0.2">
      <c r="A25">
        <v>18</v>
      </c>
      <c r="B25">
        <f t="shared" si="3"/>
        <v>0</v>
      </c>
      <c r="C25">
        <f t="shared" si="4"/>
        <v>0</v>
      </c>
      <c r="D25">
        <f t="shared" si="5"/>
        <v>0</v>
      </c>
      <c r="E25">
        <f t="shared" si="6"/>
        <v>0</v>
      </c>
      <c r="F25">
        <f t="shared" si="7"/>
        <v>0</v>
      </c>
      <c r="G25">
        <f t="shared" si="8"/>
        <v>0</v>
      </c>
      <c r="H25">
        <f t="shared" si="8"/>
        <v>0</v>
      </c>
      <c r="I25">
        <f t="shared" si="8"/>
        <v>0</v>
      </c>
      <c r="J25">
        <f t="shared" si="8"/>
        <v>0</v>
      </c>
    </row>
    <row r="26" spans="1:16" x14ac:dyDescent="0.2">
      <c r="A26">
        <v>22</v>
      </c>
      <c r="B26">
        <f t="shared" si="3"/>
        <v>0</v>
      </c>
      <c r="C26">
        <f t="shared" si="4"/>
        <v>0</v>
      </c>
      <c r="D26">
        <f t="shared" si="5"/>
        <v>0</v>
      </c>
      <c r="E26">
        <f t="shared" si="6"/>
        <v>0</v>
      </c>
      <c r="F26">
        <f t="shared" si="7"/>
        <v>0</v>
      </c>
      <c r="G26">
        <f t="shared" si="8"/>
        <v>0</v>
      </c>
      <c r="H26">
        <f t="shared" si="8"/>
        <v>0</v>
      </c>
      <c r="I26">
        <f t="shared" si="8"/>
        <v>0</v>
      </c>
      <c r="J26">
        <f t="shared" si="8"/>
        <v>0</v>
      </c>
    </row>
    <row r="27" spans="1:16" x14ac:dyDescent="0.2">
      <c r="A27">
        <v>27</v>
      </c>
      <c r="B27">
        <f t="shared" si="3"/>
        <v>0</v>
      </c>
      <c r="C27">
        <f t="shared" si="4"/>
        <v>0</v>
      </c>
      <c r="D27">
        <f t="shared" si="5"/>
        <v>0</v>
      </c>
      <c r="E27">
        <f t="shared" si="6"/>
        <v>0</v>
      </c>
      <c r="F27">
        <f t="shared" si="7"/>
        <v>0</v>
      </c>
      <c r="G27">
        <f t="shared" si="8"/>
        <v>0</v>
      </c>
      <c r="H27">
        <f t="shared" si="8"/>
        <v>0</v>
      </c>
      <c r="I27">
        <f t="shared" si="8"/>
        <v>0</v>
      </c>
      <c r="J27">
        <f t="shared" si="8"/>
        <v>0</v>
      </c>
      <c r="M27" s="3" t="s">
        <v>205</v>
      </c>
      <c r="N27" t="str">
        <f>O7/1000&amp;" kΩ"</f>
        <v>6.19 kΩ</v>
      </c>
      <c r="O27">
        <f>O7/1000</f>
        <v>6.19</v>
      </c>
      <c r="P27" s="45" t="s">
        <v>309</v>
      </c>
    </row>
    <row r="28" spans="1:16" x14ac:dyDescent="0.2">
      <c r="A28">
        <v>33</v>
      </c>
      <c r="B28">
        <f t="shared" si="3"/>
        <v>0</v>
      </c>
      <c r="C28">
        <f t="shared" si="4"/>
        <v>0</v>
      </c>
      <c r="D28">
        <f t="shared" si="5"/>
        <v>0</v>
      </c>
      <c r="E28">
        <f t="shared" si="6"/>
        <v>0</v>
      </c>
      <c r="F28">
        <f t="shared" si="7"/>
        <v>0</v>
      </c>
      <c r="G28">
        <f t="shared" si="8"/>
        <v>0</v>
      </c>
      <c r="H28">
        <f t="shared" si="8"/>
        <v>0</v>
      </c>
      <c r="I28">
        <f t="shared" si="8"/>
        <v>0</v>
      </c>
      <c r="J28">
        <f t="shared" si="8"/>
        <v>0</v>
      </c>
      <c r="M28" s="3" t="s">
        <v>202</v>
      </c>
      <c r="N28" t="str">
        <f>C4*1000000000&amp;" nF"</f>
        <v>0.022 nF</v>
      </c>
      <c r="O28">
        <f>C4*1000000000000</f>
        <v>22</v>
      </c>
      <c r="P28" s="118" t="s">
        <v>172</v>
      </c>
    </row>
    <row r="29" spans="1:16" x14ac:dyDescent="0.2">
      <c r="A29">
        <v>39</v>
      </c>
      <c r="B29">
        <f t="shared" si="3"/>
        <v>0</v>
      </c>
      <c r="C29">
        <f t="shared" si="4"/>
        <v>0</v>
      </c>
      <c r="D29">
        <f t="shared" si="5"/>
        <v>0</v>
      </c>
      <c r="E29">
        <f t="shared" si="6"/>
        <v>0</v>
      </c>
      <c r="F29">
        <f t="shared" si="7"/>
        <v>0</v>
      </c>
      <c r="G29">
        <f t="shared" si="8"/>
        <v>0</v>
      </c>
      <c r="H29">
        <f t="shared" si="8"/>
        <v>0</v>
      </c>
      <c r="I29">
        <f t="shared" si="8"/>
        <v>0</v>
      </c>
      <c r="J29">
        <f t="shared" si="8"/>
        <v>0</v>
      </c>
      <c r="M29" s="3" t="s">
        <v>203</v>
      </c>
      <c r="N29" t="str">
        <f>D4*1000000000000&amp;" pF"</f>
        <v>470 pF</v>
      </c>
      <c r="O29">
        <f>D4*1000000000000</f>
        <v>470.00000000000006</v>
      </c>
      <c r="P29" s="118" t="s">
        <v>32</v>
      </c>
    </row>
    <row r="30" spans="1:16" x14ac:dyDescent="0.2">
      <c r="A30">
        <v>47</v>
      </c>
      <c r="B30">
        <f t="shared" si="3"/>
        <v>0</v>
      </c>
      <c r="C30">
        <f t="shared" si="4"/>
        <v>0</v>
      </c>
      <c r="D30">
        <f t="shared" si="5"/>
        <v>0</v>
      </c>
      <c r="E30">
        <f t="shared" si="6"/>
        <v>0</v>
      </c>
      <c r="F30">
        <f t="shared" si="7"/>
        <v>0</v>
      </c>
      <c r="G30">
        <f t="shared" si="8"/>
        <v>0</v>
      </c>
      <c r="H30">
        <f t="shared" si="8"/>
        <v>0</v>
      </c>
      <c r="I30">
        <f t="shared" si="8"/>
        <v>0</v>
      </c>
      <c r="J30">
        <f t="shared" si="8"/>
        <v>0</v>
      </c>
      <c r="M30" s="3"/>
      <c r="P30" s="45"/>
    </row>
    <row r="31" spans="1:16" x14ac:dyDescent="0.2">
      <c r="A31">
        <v>56</v>
      </c>
      <c r="B31">
        <f t="shared" si="3"/>
        <v>0</v>
      </c>
      <c r="C31">
        <f t="shared" si="4"/>
        <v>0</v>
      </c>
      <c r="D31">
        <f t="shared" si="5"/>
        <v>0</v>
      </c>
      <c r="E31">
        <f t="shared" si="6"/>
        <v>0</v>
      </c>
      <c r="F31">
        <f t="shared" si="7"/>
        <v>0</v>
      </c>
      <c r="G31">
        <f t="shared" si="8"/>
        <v>0</v>
      </c>
      <c r="H31">
        <f t="shared" si="8"/>
        <v>0</v>
      </c>
      <c r="I31">
        <f t="shared" si="8"/>
        <v>0</v>
      </c>
      <c r="J31">
        <f t="shared" si="8"/>
        <v>0</v>
      </c>
      <c r="M31" s="3"/>
      <c r="P31" s="118"/>
    </row>
    <row r="32" spans="1:16" x14ac:dyDescent="0.2">
      <c r="A32">
        <v>68</v>
      </c>
      <c r="B32">
        <f t="shared" si="3"/>
        <v>0</v>
      </c>
      <c r="C32">
        <f t="shared" si="4"/>
        <v>0</v>
      </c>
      <c r="D32">
        <f t="shared" si="5"/>
        <v>0</v>
      </c>
      <c r="E32">
        <f t="shared" si="6"/>
        <v>0</v>
      </c>
      <c r="F32">
        <f t="shared" si="7"/>
        <v>0</v>
      </c>
      <c r="G32">
        <f t="shared" si="8"/>
        <v>0</v>
      </c>
      <c r="H32">
        <f t="shared" si="8"/>
        <v>0</v>
      </c>
      <c r="I32">
        <f t="shared" si="8"/>
        <v>0</v>
      </c>
      <c r="J32">
        <f t="shared" si="8"/>
        <v>0</v>
      </c>
    </row>
    <row r="33" spans="1:13" x14ac:dyDescent="0.2">
      <c r="A33">
        <v>82</v>
      </c>
      <c r="B33">
        <f t="shared" si="3"/>
        <v>0</v>
      </c>
      <c r="C33">
        <f t="shared" si="4"/>
        <v>0</v>
      </c>
      <c r="D33">
        <f t="shared" si="5"/>
        <v>0</v>
      </c>
      <c r="E33">
        <f t="shared" si="6"/>
        <v>0</v>
      </c>
      <c r="F33">
        <f t="shared" si="7"/>
        <v>0</v>
      </c>
      <c r="G33">
        <f t="shared" si="8"/>
        <v>0</v>
      </c>
      <c r="H33">
        <f t="shared" si="8"/>
        <v>0</v>
      </c>
      <c r="I33">
        <f t="shared" si="8"/>
        <v>0</v>
      </c>
      <c r="J33">
        <f t="shared" si="8"/>
        <v>0</v>
      </c>
    </row>
    <row r="34" spans="1:13" x14ac:dyDescent="0.2">
      <c r="A34">
        <f>A22*10</f>
        <v>100</v>
      </c>
      <c r="B34">
        <f t="shared" si="3"/>
        <v>0</v>
      </c>
      <c r="C34">
        <f t="shared" si="4"/>
        <v>0</v>
      </c>
      <c r="D34">
        <f t="shared" si="5"/>
        <v>0</v>
      </c>
      <c r="E34">
        <f t="shared" si="6"/>
        <v>0</v>
      </c>
      <c r="F34">
        <f t="shared" si="7"/>
        <v>0</v>
      </c>
      <c r="G34">
        <f t="shared" si="8"/>
        <v>0</v>
      </c>
      <c r="H34">
        <f t="shared" si="8"/>
        <v>0</v>
      </c>
      <c r="I34">
        <f t="shared" si="8"/>
        <v>0</v>
      </c>
      <c r="J34">
        <f t="shared" si="8"/>
        <v>0</v>
      </c>
      <c r="M34" s="118"/>
    </row>
    <row r="35" spans="1:13" x14ac:dyDescent="0.2">
      <c r="A35">
        <f t="shared" ref="A35:A98" si="10">A23*10</f>
        <v>120</v>
      </c>
      <c r="B35">
        <f t="shared" si="3"/>
        <v>0</v>
      </c>
      <c r="C35">
        <f t="shared" si="4"/>
        <v>0</v>
      </c>
      <c r="D35">
        <f t="shared" si="5"/>
        <v>0</v>
      </c>
      <c r="E35">
        <f t="shared" si="6"/>
        <v>0</v>
      </c>
      <c r="F35">
        <f t="shared" si="7"/>
        <v>0</v>
      </c>
      <c r="G35">
        <f t="shared" si="8"/>
        <v>0</v>
      </c>
      <c r="H35">
        <f t="shared" si="8"/>
        <v>0</v>
      </c>
      <c r="I35">
        <f t="shared" si="8"/>
        <v>0</v>
      </c>
      <c r="J35">
        <f t="shared" si="8"/>
        <v>0</v>
      </c>
      <c r="M35" s="118"/>
    </row>
    <row r="36" spans="1:13" x14ac:dyDescent="0.2">
      <c r="A36">
        <f t="shared" si="10"/>
        <v>150</v>
      </c>
      <c r="B36">
        <f t="shared" si="3"/>
        <v>0</v>
      </c>
      <c r="C36">
        <f t="shared" si="4"/>
        <v>0</v>
      </c>
      <c r="D36">
        <f t="shared" si="5"/>
        <v>0</v>
      </c>
      <c r="E36">
        <f t="shared" si="6"/>
        <v>0</v>
      </c>
      <c r="F36">
        <f t="shared" si="7"/>
        <v>0</v>
      </c>
      <c r="G36">
        <f t="shared" si="8"/>
        <v>0</v>
      </c>
      <c r="H36">
        <f t="shared" si="8"/>
        <v>0</v>
      </c>
      <c r="I36">
        <f t="shared" si="8"/>
        <v>0</v>
      </c>
      <c r="J36">
        <f t="shared" si="8"/>
        <v>0</v>
      </c>
    </row>
    <row r="37" spans="1:13" x14ac:dyDescent="0.2">
      <c r="A37">
        <f t="shared" si="10"/>
        <v>180</v>
      </c>
      <c r="B37">
        <f t="shared" si="3"/>
        <v>0</v>
      </c>
      <c r="C37">
        <f t="shared" si="4"/>
        <v>0</v>
      </c>
      <c r="D37">
        <f t="shared" si="5"/>
        <v>0</v>
      </c>
      <c r="E37">
        <f t="shared" si="6"/>
        <v>0</v>
      </c>
      <c r="F37">
        <f t="shared" si="7"/>
        <v>0</v>
      </c>
      <c r="G37">
        <f t="shared" si="8"/>
        <v>0</v>
      </c>
      <c r="H37">
        <f t="shared" si="8"/>
        <v>0</v>
      </c>
      <c r="I37">
        <f t="shared" si="8"/>
        <v>0</v>
      </c>
      <c r="J37">
        <f t="shared" si="8"/>
        <v>0</v>
      </c>
    </row>
    <row r="38" spans="1:13" x14ac:dyDescent="0.2">
      <c r="A38">
        <f t="shared" si="10"/>
        <v>220</v>
      </c>
      <c r="B38">
        <f t="shared" si="3"/>
        <v>0</v>
      </c>
      <c r="C38">
        <f t="shared" si="4"/>
        <v>0</v>
      </c>
      <c r="D38">
        <f t="shared" si="5"/>
        <v>0</v>
      </c>
      <c r="E38">
        <f t="shared" si="6"/>
        <v>0</v>
      </c>
      <c r="F38">
        <f t="shared" si="7"/>
        <v>0</v>
      </c>
      <c r="G38">
        <f t="shared" si="8"/>
        <v>0</v>
      </c>
      <c r="H38">
        <f t="shared" si="8"/>
        <v>0</v>
      </c>
      <c r="I38">
        <f t="shared" si="8"/>
        <v>0</v>
      </c>
      <c r="J38">
        <f t="shared" si="8"/>
        <v>0</v>
      </c>
    </row>
    <row r="39" spans="1:13" x14ac:dyDescent="0.2">
      <c r="A39">
        <f t="shared" si="10"/>
        <v>270</v>
      </c>
      <c r="B39">
        <f t="shared" si="3"/>
        <v>0</v>
      </c>
      <c r="C39">
        <f t="shared" ref="C39:C70" si="11">IF(IF((C$3*10^12-$A40)*(C$3*10^12-$A39)*-1&lt;0,0,1)*IF(ABS(C$3*10^12-$A40)&gt;(C$3*10^12-$A39),$A39,$A40)=C40,0,IF((C$3*10^12-$A40)*(C$3*10^12-$A39)*-1&lt;0,0,1)*IF(ABS(C$3*10^12-$A40)&gt;(C$3*10^12-$A39),$A39,$A40))</f>
        <v>0</v>
      </c>
      <c r="D39">
        <f t="shared" si="5"/>
        <v>0</v>
      </c>
      <c r="E39">
        <f t="shared" si="6"/>
        <v>0</v>
      </c>
      <c r="F39">
        <f t="shared" si="7"/>
        <v>0</v>
      </c>
      <c r="G39">
        <f t="shared" si="8"/>
        <v>0</v>
      </c>
      <c r="H39">
        <f t="shared" si="8"/>
        <v>0</v>
      </c>
      <c r="I39">
        <f t="shared" si="8"/>
        <v>0</v>
      </c>
      <c r="J39">
        <f t="shared" si="8"/>
        <v>0</v>
      </c>
    </row>
    <row r="40" spans="1:13" x14ac:dyDescent="0.2">
      <c r="A40">
        <f t="shared" si="10"/>
        <v>330</v>
      </c>
      <c r="B40">
        <f t="shared" si="3"/>
        <v>0</v>
      </c>
      <c r="C40">
        <f t="shared" si="11"/>
        <v>0</v>
      </c>
      <c r="D40">
        <f t="shared" si="5"/>
        <v>0</v>
      </c>
      <c r="E40">
        <f t="shared" si="6"/>
        <v>0</v>
      </c>
      <c r="F40">
        <f t="shared" si="7"/>
        <v>0</v>
      </c>
      <c r="G40">
        <f t="shared" si="8"/>
        <v>0</v>
      </c>
      <c r="H40">
        <f t="shared" si="8"/>
        <v>0</v>
      </c>
      <c r="I40">
        <f t="shared" si="8"/>
        <v>0</v>
      </c>
      <c r="J40">
        <f t="shared" si="8"/>
        <v>0</v>
      </c>
    </row>
    <row r="41" spans="1:13" x14ac:dyDescent="0.2">
      <c r="A41">
        <f t="shared" si="10"/>
        <v>390</v>
      </c>
      <c r="B41">
        <f t="shared" si="3"/>
        <v>0</v>
      </c>
      <c r="C41">
        <f t="shared" si="11"/>
        <v>0</v>
      </c>
      <c r="D41">
        <f t="shared" si="5"/>
        <v>0</v>
      </c>
      <c r="E41">
        <f t="shared" si="6"/>
        <v>0</v>
      </c>
      <c r="F41">
        <f t="shared" si="7"/>
        <v>0</v>
      </c>
      <c r="G41">
        <f t="shared" si="8"/>
        <v>0</v>
      </c>
      <c r="H41">
        <f t="shared" si="8"/>
        <v>0</v>
      </c>
      <c r="I41">
        <f t="shared" si="8"/>
        <v>0</v>
      </c>
      <c r="J41">
        <f t="shared" si="8"/>
        <v>0</v>
      </c>
    </row>
    <row r="42" spans="1:13" x14ac:dyDescent="0.2">
      <c r="A42">
        <f t="shared" si="10"/>
        <v>470</v>
      </c>
      <c r="B42">
        <f t="shared" si="3"/>
        <v>0</v>
      </c>
      <c r="C42">
        <f t="shared" si="11"/>
        <v>0</v>
      </c>
      <c r="D42">
        <f t="shared" si="5"/>
        <v>470</v>
      </c>
      <c r="E42">
        <f t="shared" si="6"/>
        <v>0</v>
      </c>
      <c r="F42">
        <f t="shared" si="7"/>
        <v>0</v>
      </c>
      <c r="G42">
        <f t="shared" si="8"/>
        <v>470</v>
      </c>
      <c r="H42">
        <f t="shared" si="8"/>
        <v>0</v>
      </c>
      <c r="I42">
        <f t="shared" si="8"/>
        <v>0</v>
      </c>
      <c r="J42">
        <f t="shared" si="8"/>
        <v>0</v>
      </c>
    </row>
    <row r="43" spans="1:13" x14ac:dyDescent="0.2">
      <c r="A43">
        <f t="shared" si="10"/>
        <v>560</v>
      </c>
      <c r="B43">
        <f t="shared" si="3"/>
        <v>0</v>
      </c>
      <c r="C43">
        <f t="shared" si="11"/>
        <v>0</v>
      </c>
      <c r="D43">
        <f t="shared" si="5"/>
        <v>0</v>
      </c>
      <c r="E43">
        <f t="shared" si="6"/>
        <v>0</v>
      </c>
      <c r="F43">
        <f t="shared" si="7"/>
        <v>0</v>
      </c>
      <c r="G43">
        <f t="shared" si="8"/>
        <v>0</v>
      </c>
      <c r="H43">
        <f t="shared" si="8"/>
        <v>0</v>
      </c>
      <c r="I43">
        <f t="shared" si="8"/>
        <v>0</v>
      </c>
      <c r="J43">
        <f t="shared" si="8"/>
        <v>0</v>
      </c>
    </row>
    <row r="44" spans="1:13" x14ac:dyDescent="0.2">
      <c r="A44">
        <f t="shared" si="10"/>
        <v>680</v>
      </c>
      <c r="B44">
        <f t="shared" si="3"/>
        <v>0</v>
      </c>
      <c r="C44">
        <f t="shared" si="11"/>
        <v>0</v>
      </c>
      <c r="D44">
        <f t="shared" si="5"/>
        <v>0</v>
      </c>
      <c r="E44">
        <f t="shared" si="6"/>
        <v>0</v>
      </c>
      <c r="F44">
        <f t="shared" si="7"/>
        <v>0</v>
      </c>
      <c r="G44">
        <f t="shared" si="8"/>
        <v>0</v>
      </c>
      <c r="H44">
        <f t="shared" si="8"/>
        <v>0</v>
      </c>
      <c r="I44">
        <f t="shared" si="8"/>
        <v>0</v>
      </c>
      <c r="J44">
        <f t="shared" si="8"/>
        <v>0</v>
      </c>
    </row>
    <row r="45" spans="1:13" x14ac:dyDescent="0.2">
      <c r="A45">
        <f>A33*10</f>
        <v>820</v>
      </c>
      <c r="B45">
        <f t="shared" si="3"/>
        <v>0</v>
      </c>
      <c r="C45">
        <f t="shared" si="11"/>
        <v>0</v>
      </c>
      <c r="D45">
        <f t="shared" si="5"/>
        <v>0</v>
      </c>
      <c r="E45">
        <f t="shared" si="6"/>
        <v>0</v>
      </c>
      <c r="F45">
        <f t="shared" si="7"/>
        <v>0</v>
      </c>
      <c r="G45">
        <f t="shared" si="8"/>
        <v>0</v>
      </c>
      <c r="H45">
        <f t="shared" si="8"/>
        <v>0</v>
      </c>
      <c r="I45">
        <f t="shared" si="8"/>
        <v>0</v>
      </c>
      <c r="J45">
        <f t="shared" si="8"/>
        <v>0</v>
      </c>
    </row>
    <row r="46" spans="1:13" x14ac:dyDescent="0.2">
      <c r="A46">
        <f t="shared" si="10"/>
        <v>1000</v>
      </c>
      <c r="B46">
        <f t="shared" si="3"/>
        <v>0</v>
      </c>
      <c r="C46">
        <f t="shared" si="11"/>
        <v>0</v>
      </c>
      <c r="D46">
        <f t="shared" si="5"/>
        <v>0</v>
      </c>
      <c r="E46">
        <f t="shared" si="6"/>
        <v>0</v>
      </c>
      <c r="F46">
        <f t="shared" si="7"/>
        <v>0</v>
      </c>
      <c r="G46">
        <f t="shared" si="8"/>
        <v>0</v>
      </c>
      <c r="H46">
        <f t="shared" si="8"/>
        <v>0</v>
      </c>
      <c r="I46">
        <f t="shared" si="8"/>
        <v>0</v>
      </c>
      <c r="J46">
        <f t="shared" si="8"/>
        <v>0</v>
      </c>
    </row>
    <row r="47" spans="1:13" x14ac:dyDescent="0.2">
      <c r="A47">
        <f t="shared" si="10"/>
        <v>1200</v>
      </c>
      <c r="B47">
        <f t="shared" si="3"/>
        <v>0</v>
      </c>
      <c r="C47">
        <f t="shared" si="11"/>
        <v>0</v>
      </c>
      <c r="D47">
        <f t="shared" si="5"/>
        <v>0</v>
      </c>
      <c r="E47">
        <f t="shared" si="6"/>
        <v>0</v>
      </c>
      <c r="F47">
        <f t="shared" si="7"/>
        <v>0</v>
      </c>
      <c r="G47">
        <f t="shared" si="8"/>
        <v>0</v>
      </c>
      <c r="H47">
        <f t="shared" si="8"/>
        <v>0</v>
      </c>
      <c r="I47">
        <f t="shared" si="8"/>
        <v>0</v>
      </c>
      <c r="J47">
        <f t="shared" si="8"/>
        <v>0</v>
      </c>
    </row>
    <row r="48" spans="1:13" x14ac:dyDescent="0.2">
      <c r="A48">
        <f t="shared" si="10"/>
        <v>1500</v>
      </c>
      <c r="B48">
        <f t="shared" si="3"/>
        <v>0</v>
      </c>
      <c r="C48">
        <f t="shared" si="11"/>
        <v>0</v>
      </c>
      <c r="D48">
        <f t="shared" si="5"/>
        <v>0</v>
      </c>
      <c r="E48">
        <f t="shared" si="6"/>
        <v>0</v>
      </c>
      <c r="F48">
        <f t="shared" si="7"/>
        <v>0</v>
      </c>
      <c r="G48">
        <f t="shared" si="8"/>
        <v>0</v>
      </c>
      <c r="H48">
        <f t="shared" si="8"/>
        <v>0</v>
      </c>
      <c r="I48">
        <f t="shared" si="8"/>
        <v>0</v>
      </c>
      <c r="J48">
        <f t="shared" si="8"/>
        <v>0</v>
      </c>
    </row>
    <row r="49" spans="1:10" x14ac:dyDescent="0.2">
      <c r="A49">
        <f t="shared" si="10"/>
        <v>1800</v>
      </c>
      <c r="B49">
        <f t="shared" si="3"/>
        <v>0</v>
      </c>
      <c r="C49">
        <f t="shared" si="11"/>
        <v>0</v>
      </c>
      <c r="D49">
        <f t="shared" si="5"/>
        <v>0</v>
      </c>
      <c r="E49">
        <f t="shared" si="6"/>
        <v>0</v>
      </c>
      <c r="F49">
        <f t="shared" si="7"/>
        <v>0</v>
      </c>
      <c r="G49">
        <f t="shared" si="8"/>
        <v>0</v>
      </c>
      <c r="H49">
        <f t="shared" si="8"/>
        <v>0</v>
      </c>
      <c r="I49">
        <f t="shared" si="8"/>
        <v>0</v>
      </c>
      <c r="J49">
        <f t="shared" si="8"/>
        <v>0</v>
      </c>
    </row>
    <row r="50" spans="1:10" x14ac:dyDescent="0.2">
      <c r="A50">
        <f t="shared" si="10"/>
        <v>2200</v>
      </c>
      <c r="B50">
        <f t="shared" si="3"/>
        <v>0</v>
      </c>
      <c r="C50">
        <f t="shared" si="11"/>
        <v>0</v>
      </c>
      <c r="D50">
        <f t="shared" si="5"/>
        <v>0</v>
      </c>
      <c r="E50">
        <f t="shared" si="6"/>
        <v>0</v>
      </c>
      <c r="F50">
        <f t="shared" si="7"/>
        <v>0</v>
      </c>
      <c r="G50">
        <f t="shared" si="8"/>
        <v>0</v>
      </c>
      <c r="H50">
        <f t="shared" si="8"/>
        <v>0</v>
      </c>
      <c r="I50">
        <f t="shared" si="8"/>
        <v>0</v>
      </c>
      <c r="J50">
        <f t="shared" si="8"/>
        <v>0</v>
      </c>
    </row>
    <row r="51" spans="1:10" x14ac:dyDescent="0.2">
      <c r="A51">
        <f t="shared" si="10"/>
        <v>2700</v>
      </c>
      <c r="B51">
        <f t="shared" si="3"/>
        <v>0</v>
      </c>
      <c r="C51">
        <f t="shared" si="11"/>
        <v>0</v>
      </c>
      <c r="D51">
        <f t="shared" si="5"/>
        <v>0</v>
      </c>
      <c r="E51">
        <f t="shared" si="6"/>
        <v>0</v>
      </c>
      <c r="F51">
        <f t="shared" si="7"/>
        <v>0</v>
      </c>
      <c r="G51">
        <f t="shared" si="8"/>
        <v>0</v>
      </c>
      <c r="H51">
        <f t="shared" si="8"/>
        <v>0</v>
      </c>
      <c r="I51">
        <f t="shared" si="8"/>
        <v>0</v>
      </c>
      <c r="J51">
        <f t="shared" si="8"/>
        <v>0</v>
      </c>
    </row>
    <row r="52" spans="1:10" x14ac:dyDescent="0.2">
      <c r="A52">
        <f t="shared" si="10"/>
        <v>3300</v>
      </c>
      <c r="B52">
        <f t="shared" si="3"/>
        <v>0</v>
      </c>
      <c r="C52">
        <f t="shared" si="11"/>
        <v>0</v>
      </c>
      <c r="D52">
        <f t="shared" si="5"/>
        <v>0</v>
      </c>
      <c r="E52">
        <f t="shared" si="6"/>
        <v>0</v>
      </c>
      <c r="F52">
        <f t="shared" si="7"/>
        <v>0</v>
      </c>
      <c r="G52">
        <f t="shared" si="8"/>
        <v>0</v>
      </c>
      <c r="H52">
        <f t="shared" si="8"/>
        <v>0</v>
      </c>
      <c r="I52">
        <f t="shared" si="8"/>
        <v>0</v>
      </c>
      <c r="J52">
        <f t="shared" si="8"/>
        <v>0</v>
      </c>
    </row>
    <row r="53" spans="1:10" x14ac:dyDescent="0.2">
      <c r="A53">
        <f t="shared" si="10"/>
        <v>3900</v>
      </c>
      <c r="B53">
        <f t="shared" si="3"/>
        <v>0</v>
      </c>
      <c r="C53">
        <f t="shared" si="11"/>
        <v>0</v>
      </c>
      <c r="D53">
        <f t="shared" si="5"/>
        <v>0</v>
      </c>
      <c r="E53">
        <f t="shared" si="6"/>
        <v>0</v>
      </c>
      <c r="F53">
        <f t="shared" si="7"/>
        <v>0</v>
      </c>
      <c r="G53">
        <f t="shared" si="8"/>
        <v>0</v>
      </c>
      <c r="H53">
        <f t="shared" si="8"/>
        <v>0</v>
      </c>
      <c r="I53">
        <f t="shared" si="8"/>
        <v>0</v>
      </c>
      <c r="J53">
        <f t="shared" si="8"/>
        <v>0</v>
      </c>
    </row>
    <row r="54" spans="1:10" x14ac:dyDescent="0.2">
      <c r="A54">
        <f t="shared" si="10"/>
        <v>4700</v>
      </c>
      <c r="B54">
        <f t="shared" si="3"/>
        <v>0</v>
      </c>
      <c r="C54">
        <f t="shared" si="11"/>
        <v>0</v>
      </c>
      <c r="D54">
        <f t="shared" si="5"/>
        <v>0</v>
      </c>
      <c r="E54">
        <f t="shared" si="6"/>
        <v>0</v>
      </c>
      <c r="F54">
        <f t="shared" si="7"/>
        <v>0</v>
      </c>
      <c r="G54">
        <f t="shared" si="8"/>
        <v>0</v>
      </c>
      <c r="H54">
        <f t="shared" si="8"/>
        <v>0</v>
      </c>
      <c r="I54">
        <f t="shared" si="8"/>
        <v>0</v>
      </c>
      <c r="J54">
        <f t="shared" si="8"/>
        <v>0</v>
      </c>
    </row>
    <row r="55" spans="1:10" x14ac:dyDescent="0.2">
      <c r="A55">
        <f t="shared" si="10"/>
        <v>5600</v>
      </c>
      <c r="B55">
        <f t="shared" si="3"/>
        <v>0</v>
      </c>
      <c r="C55">
        <f t="shared" si="11"/>
        <v>0</v>
      </c>
      <c r="D55">
        <f t="shared" si="5"/>
        <v>0</v>
      </c>
      <c r="E55">
        <f t="shared" si="6"/>
        <v>0</v>
      </c>
      <c r="F55">
        <f t="shared" si="7"/>
        <v>0</v>
      </c>
      <c r="G55">
        <f t="shared" si="8"/>
        <v>0</v>
      </c>
      <c r="H55">
        <f t="shared" si="8"/>
        <v>0</v>
      </c>
      <c r="I55">
        <f t="shared" si="8"/>
        <v>0</v>
      </c>
      <c r="J55">
        <f t="shared" si="8"/>
        <v>0</v>
      </c>
    </row>
    <row r="56" spans="1:10" x14ac:dyDescent="0.2">
      <c r="A56">
        <f t="shared" si="10"/>
        <v>6800</v>
      </c>
      <c r="B56">
        <f t="shared" si="3"/>
        <v>0</v>
      </c>
      <c r="C56">
        <f t="shared" si="11"/>
        <v>0</v>
      </c>
      <c r="D56">
        <f t="shared" si="5"/>
        <v>0</v>
      </c>
      <c r="E56">
        <f t="shared" si="6"/>
        <v>0</v>
      </c>
      <c r="F56">
        <f t="shared" si="7"/>
        <v>0</v>
      </c>
      <c r="G56">
        <f t="shared" si="8"/>
        <v>0</v>
      </c>
      <c r="H56">
        <f t="shared" si="8"/>
        <v>0</v>
      </c>
      <c r="I56">
        <f t="shared" si="8"/>
        <v>0</v>
      </c>
      <c r="J56">
        <f t="shared" si="8"/>
        <v>0</v>
      </c>
    </row>
    <row r="57" spans="1:10" x14ac:dyDescent="0.2">
      <c r="A57">
        <f t="shared" si="10"/>
        <v>8200</v>
      </c>
      <c r="B57">
        <f t="shared" si="3"/>
        <v>0</v>
      </c>
      <c r="C57">
        <f t="shared" si="11"/>
        <v>0</v>
      </c>
      <c r="D57">
        <f t="shared" si="5"/>
        <v>0</v>
      </c>
      <c r="E57">
        <f t="shared" si="6"/>
        <v>0</v>
      </c>
      <c r="F57">
        <f t="shared" si="7"/>
        <v>0</v>
      </c>
      <c r="G57">
        <f t="shared" si="8"/>
        <v>0</v>
      </c>
      <c r="H57">
        <f t="shared" si="8"/>
        <v>0</v>
      </c>
      <c r="I57">
        <f t="shared" si="8"/>
        <v>0</v>
      </c>
      <c r="J57">
        <f t="shared" si="8"/>
        <v>0</v>
      </c>
    </row>
    <row r="58" spans="1:10" x14ac:dyDescent="0.2">
      <c r="A58">
        <f t="shared" si="10"/>
        <v>10000</v>
      </c>
      <c r="B58">
        <f t="shared" si="3"/>
        <v>0</v>
      </c>
      <c r="C58">
        <f t="shared" si="11"/>
        <v>0</v>
      </c>
      <c r="D58">
        <f t="shared" si="5"/>
        <v>0</v>
      </c>
      <c r="E58">
        <f t="shared" si="6"/>
        <v>0</v>
      </c>
      <c r="F58">
        <f t="shared" si="7"/>
        <v>0</v>
      </c>
      <c r="G58">
        <f t="shared" si="8"/>
        <v>0</v>
      </c>
      <c r="H58">
        <f t="shared" si="8"/>
        <v>0</v>
      </c>
      <c r="I58">
        <f t="shared" si="8"/>
        <v>0</v>
      </c>
      <c r="J58">
        <f t="shared" si="8"/>
        <v>0</v>
      </c>
    </row>
    <row r="59" spans="1:10" x14ac:dyDescent="0.2">
      <c r="A59">
        <f t="shared" si="10"/>
        <v>12000</v>
      </c>
      <c r="B59">
        <f t="shared" si="3"/>
        <v>0</v>
      </c>
      <c r="C59">
        <f t="shared" si="11"/>
        <v>0</v>
      </c>
      <c r="D59">
        <f t="shared" si="5"/>
        <v>0</v>
      </c>
      <c r="E59">
        <f t="shared" si="6"/>
        <v>0</v>
      </c>
      <c r="F59">
        <f t="shared" si="7"/>
        <v>0</v>
      </c>
      <c r="G59">
        <f t="shared" si="8"/>
        <v>0</v>
      </c>
      <c r="H59">
        <f t="shared" si="8"/>
        <v>0</v>
      </c>
      <c r="I59">
        <f t="shared" si="8"/>
        <v>0</v>
      </c>
      <c r="J59">
        <f t="shared" si="8"/>
        <v>0</v>
      </c>
    </row>
    <row r="60" spans="1:10" x14ac:dyDescent="0.2">
      <c r="A60">
        <f t="shared" si="10"/>
        <v>15000</v>
      </c>
      <c r="B60">
        <f t="shared" si="3"/>
        <v>0</v>
      </c>
      <c r="C60">
        <f t="shared" si="11"/>
        <v>0</v>
      </c>
      <c r="D60">
        <f t="shared" si="5"/>
        <v>0</v>
      </c>
      <c r="E60">
        <f t="shared" si="6"/>
        <v>0</v>
      </c>
      <c r="F60">
        <f t="shared" si="7"/>
        <v>0</v>
      </c>
      <c r="G60">
        <f t="shared" si="8"/>
        <v>0</v>
      </c>
      <c r="H60">
        <f t="shared" si="8"/>
        <v>0</v>
      </c>
      <c r="I60">
        <f t="shared" si="8"/>
        <v>0</v>
      </c>
      <c r="J60">
        <f t="shared" si="8"/>
        <v>0</v>
      </c>
    </row>
    <row r="61" spans="1:10" x14ac:dyDescent="0.2">
      <c r="A61">
        <f t="shared" si="10"/>
        <v>18000</v>
      </c>
      <c r="B61">
        <f t="shared" si="3"/>
        <v>0</v>
      </c>
      <c r="C61">
        <f t="shared" si="11"/>
        <v>0</v>
      </c>
      <c r="D61">
        <f t="shared" si="5"/>
        <v>0</v>
      </c>
      <c r="E61">
        <f t="shared" si="6"/>
        <v>0</v>
      </c>
      <c r="F61">
        <f t="shared" si="7"/>
        <v>0</v>
      </c>
      <c r="G61">
        <f t="shared" si="8"/>
        <v>0</v>
      </c>
      <c r="H61">
        <f t="shared" si="8"/>
        <v>0</v>
      </c>
      <c r="I61">
        <f t="shared" si="8"/>
        <v>0</v>
      </c>
      <c r="J61">
        <f t="shared" si="8"/>
        <v>0</v>
      </c>
    </row>
    <row r="62" spans="1:10" x14ac:dyDescent="0.2">
      <c r="A62">
        <f t="shared" si="10"/>
        <v>22000</v>
      </c>
      <c r="B62">
        <f t="shared" si="3"/>
        <v>0</v>
      </c>
      <c r="C62">
        <f t="shared" si="11"/>
        <v>22000</v>
      </c>
      <c r="D62">
        <f t="shared" si="5"/>
        <v>0</v>
      </c>
      <c r="E62">
        <f t="shared" si="6"/>
        <v>0</v>
      </c>
      <c r="F62">
        <f t="shared" si="7"/>
        <v>0</v>
      </c>
      <c r="G62">
        <f t="shared" si="8"/>
        <v>0</v>
      </c>
      <c r="H62">
        <f t="shared" si="8"/>
        <v>0</v>
      </c>
      <c r="I62">
        <f t="shared" si="8"/>
        <v>0</v>
      </c>
      <c r="J62">
        <f t="shared" si="8"/>
        <v>0</v>
      </c>
    </row>
    <row r="63" spans="1:10" x14ac:dyDescent="0.2">
      <c r="A63">
        <f t="shared" si="10"/>
        <v>27000</v>
      </c>
      <c r="B63">
        <f t="shared" si="3"/>
        <v>0</v>
      </c>
      <c r="C63">
        <f t="shared" si="11"/>
        <v>0</v>
      </c>
      <c r="D63">
        <f t="shared" si="5"/>
        <v>0</v>
      </c>
      <c r="E63">
        <f t="shared" si="6"/>
        <v>0</v>
      </c>
      <c r="F63">
        <f t="shared" si="7"/>
        <v>0</v>
      </c>
      <c r="G63">
        <f t="shared" si="8"/>
        <v>0</v>
      </c>
      <c r="H63">
        <f t="shared" si="8"/>
        <v>0</v>
      </c>
      <c r="I63">
        <f t="shared" si="8"/>
        <v>0</v>
      </c>
      <c r="J63">
        <f t="shared" si="8"/>
        <v>0</v>
      </c>
    </row>
    <row r="64" spans="1:10" x14ac:dyDescent="0.2">
      <c r="A64">
        <f t="shared" si="10"/>
        <v>33000</v>
      </c>
      <c r="B64">
        <f t="shared" si="3"/>
        <v>0</v>
      </c>
      <c r="C64">
        <f t="shared" si="11"/>
        <v>0</v>
      </c>
      <c r="D64">
        <f t="shared" si="5"/>
        <v>0</v>
      </c>
      <c r="E64">
        <f t="shared" si="6"/>
        <v>0</v>
      </c>
      <c r="F64">
        <f t="shared" si="7"/>
        <v>0</v>
      </c>
      <c r="G64">
        <f t="shared" si="8"/>
        <v>0</v>
      </c>
      <c r="H64">
        <f t="shared" si="8"/>
        <v>0</v>
      </c>
      <c r="I64">
        <f t="shared" si="8"/>
        <v>0</v>
      </c>
      <c r="J64">
        <f t="shared" si="8"/>
        <v>0</v>
      </c>
    </row>
    <row r="65" spans="1:10" x14ac:dyDescent="0.2">
      <c r="A65">
        <f t="shared" si="10"/>
        <v>39000</v>
      </c>
      <c r="B65">
        <f t="shared" si="3"/>
        <v>0</v>
      </c>
      <c r="C65">
        <f t="shared" si="11"/>
        <v>0</v>
      </c>
      <c r="D65">
        <f t="shared" si="5"/>
        <v>0</v>
      </c>
      <c r="E65">
        <f t="shared" si="6"/>
        <v>0</v>
      </c>
      <c r="F65">
        <f t="shared" si="7"/>
        <v>0</v>
      </c>
      <c r="G65">
        <f t="shared" si="8"/>
        <v>0</v>
      </c>
      <c r="H65">
        <f t="shared" si="8"/>
        <v>39000</v>
      </c>
      <c r="I65">
        <f t="shared" si="8"/>
        <v>0</v>
      </c>
      <c r="J65">
        <f t="shared" si="8"/>
        <v>39000</v>
      </c>
    </row>
    <row r="66" spans="1:10" x14ac:dyDescent="0.2">
      <c r="A66">
        <f t="shared" si="10"/>
        <v>47000</v>
      </c>
      <c r="B66">
        <f t="shared" si="3"/>
        <v>0</v>
      </c>
      <c r="C66">
        <f t="shared" si="11"/>
        <v>0</v>
      </c>
      <c r="D66">
        <f t="shared" si="5"/>
        <v>0</v>
      </c>
      <c r="E66">
        <f t="shared" si="6"/>
        <v>0</v>
      </c>
      <c r="F66">
        <f t="shared" si="7"/>
        <v>0</v>
      </c>
      <c r="G66">
        <f t="shared" si="8"/>
        <v>0</v>
      </c>
      <c r="H66">
        <f t="shared" si="8"/>
        <v>0</v>
      </c>
      <c r="I66">
        <f t="shared" si="8"/>
        <v>0</v>
      </c>
      <c r="J66">
        <f t="shared" si="8"/>
        <v>0</v>
      </c>
    </row>
    <row r="67" spans="1:10" x14ac:dyDescent="0.2">
      <c r="A67">
        <f t="shared" si="10"/>
        <v>56000</v>
      </c>
      <c r="B67">
        <f t="shared" si="3"/>
        <v>0</v>
      </c>
      <c r="C67">
        <f t="shared" si="11"/>
        <v>0</v>
      </c>
      <c r="D67">
        <f t="shared" si="5"/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f t="shared" si="8"/>
        <v>0</v>
      </c>
      <c r="I67">
        <f t="shared" si="8"/>
        <v>0</v>
      </c>
      <c r="J67">
        <f t="shared" si="8"/>
        <v>0</v>
      </c>
    </row>
    <row r="68" spans="1:10" x14ac:dyDescent="0.2">
      <c r="A68">
        <f t="shared" si="10"/>
        <v>68000</v>
      </c>
      <c r="B68">
        <f t="shared" si="3"/>
        <v>0</v>
      </c>
      <c r="C68">
        <f t="shared" si="11"/>
        <v>0</v>
      </c>
      <c r="D68">
        <f t="shared" si="5"/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f t="shared" si="8"/>
        <v>0</v>
      </c>
      <c r="I68">
        <f t="shared" si="8"/>
        <v>0</v>
      </c>
      <c r="J68">
        <f t="shared" si="8"/>
        <v>0</v>
      </c>
    </row>
    <row r="69" spans="1:10" x14ac:dyDescent="0.2">
      <c r="A69">
        <f t="shared" si="10"/>
        <v>82000</v>
      </c>
      <c r="B69">
        <f t="shared" si="3"/>
        <v>100000</v>
      </c>
      <c r="C69">
        <f t="shared" si="11"/>
        <v>0</v>
      </c>
      <c r="D69">
        <f t="shared" si="5"/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f t="shared" si="8"/>
        <v>0</v>
      </c>
      <c r="I69">
        <f t="shared" si="8"/>
        <v>0</v>
      </c>
      <c r="J69">
        <f t="shared" ref="J69:J132" si="12">IF(IF((J$3*10^12-$A70)*(J$3*10^12-$A69)*-1&lt;0,0,1)*IF(ABS(J$3*10^12-$A70)&gt;(J$3*10^12-$A69),$A69,$A70)=J70,0,IF((J$3*10^12-$A70)*(J$3*10^12-$A69)*-1&lt;0,0,1)*IF(ABS(J$3*10^12-$A70)&gt;(J$3*10^12-$A69),$A69,$A70))</f>
        <v>0</v>
      </c>
    </row>
    <row r="70" spans="1:10" x14ac:dyDescent="0.2">
      <c r="A70">
        <f t="shared" si="10"/>
        <v>100000</v>
      </c>
      <c r="B70">
        <f t="shared" si="3"/>
        <v>0</v>
      </c>
      <c r="C70">
        <f t="shared" si="11"/>
        <v>0</v>
      </c>
      <c r="D70">
        <f t="shared" ref="D70:I70" si="13">IF(IF((D$3*10^12-$A71)*(D$3*10^12-$A70)*-1&lt;0,0,1)*IF(ABS(D$3*10^12-$A71)&gt;(D$3*10^12-$A70),$A70,$A71)=D71,0,IF((D$3*10^12-$A71)*(D$3*10^12-$A70)*-1&lt;0,0,1)*IF(ABS(D$3*10^12-$A71)&gt;(D$3*10^12-$A70),$A70,$A71))</f>
        <v>0</v>
      </c>
      <c r="E70">
        <f t="shared" si="13"/>
        <v>0</v>
      </c>
      <c r="F70">
        <f t="shared" si="13"/>
        <v>0</v>
      </c>
      <c r="G70">
        <f t="shared" si="13"/>
        <v>0</v>
      </c>
      <c r="H70">
        <f t="shared" si="13"/>
        <v>0</v>
      </c>
      <c r="I70">
        <f t="shared" si="13"/>
        <v>0</v>
      </c>
      <c r="J70">
        <f t="shared" si="12"/>
        <v>0</v>
      </c>
    </row>
    <row r="71" spans="1:10" x14ac:dyDescent="0.2">
      <c r="A71">
        <f t="shared" si="10"/>
        <v>120000</v>
      </c>
      <c r="B71">
        <f t="shared" ref="B71:B134" si="14">IF(IF((B$3*10^12-$A72)*(B$3*10^12-$A71)*-1&lt;0,0,1)*IF(ABS(B$3*10^12-$A72)&gt;(B$3*10^12-$A71),$A71,$A72)=B72,0,IF((B$3*10^12-$A72)*(B$3*10^12-$A71)*-1&lt;0,0,1)*IF(ABS(B$3*10^12-$A72)&gt;(B$3*10^12-$A71),$A71,$A72))</f>
        <v>0</v>
      </c>
      <c r="C71">
        <f t="shared" ref="C71:E134" si="15">IF(IF((C$3*10^12-$A72)*(C$3*10^12-$A71)*-1&lt;0,0,1)*IF(ABS(C$3*10^12-$A72)&gt;(C$3*10^12-$A71),$A71,$A72)=C72,0,IF((C$3*10^12-$A72)*(C$3*10^12-$A71)*-1&lt;0,0,1)*IF(ABS(C$3*10^12-$A72)&gt;(C$3*10^12-$A71),$A71,$A72))</f>
        <v>0</v>
      </c>
      <c r="D71">
        <f t="shared" si="15"/>
        <v>0</v>
      </c>
      <c r="E71">
        <f t="shared" si="15"/>
        <v>0</v>
      </c>
      <c r="F71">
        <f t="shared" ref="F71:F102" si="16">IF(IF((F$3*10^12-$A72)*(F$3*10^12-$A71)*-1&lt;0,0,1)*IF(ABS(F$3*10^12-$A72)&gt;(F$3*10^12-$A71),$A71,$A72)=F72,0,IF((F$3*10^12-$A72)*(F$3*10^12-$A71)*-1&lt;0,0,1)*IF(ABS(F$3*10^12-$A72)&gt;(F$3*10^12-$A71),$A71,$A72))</f>
        <v>0</v>
      </c>
      <c r="G71">
        <f t="shared" ref="G71:G102" si="17">IF(IF((G$3*10^12-$A72)*(G$3*10^12-$A71)*-1&lt;0,0,1)*IF(ABS(G$3*10^12-$A72)&gt;(G$3*10^12-$A71),$A71,$A72)=G72,0,IF((G$3*10^12-$A72)*(G$3*10^12-$A71)*-1&lt;0,0,1)*IF(ABS(G$3*10^12-$A72)&gt;(G$3*10^12-$A71),$A71,$A72))</f>
        <v>0</v>
      </c>
      <c r="H71">
        <f t="shared" ref="H71:H102" si="18">IF(IF((H$3*10^12-$A72)*(H$3*10^12-$A71)*-1&lt;0,0,1)*IF(ABS(H$3*10^12-$A72)&gt;(H$3*10^12-$A71),$A71,$A72)=H72,0,IF((H$3*10^12-$A72)*(H$3*10^12-$A71)*-1&lt;0,0,1)*IF(ABS(H$3*10^12-$A72)&gt;(H$3*10^12-$A71),$A71,$A72))</f>
        <v>0</v>
      </c>
      <c r="I71">
        <f t="shared" ref="I71:I102" si="19">IF(IF((I$3*10^12-$A72)*(I$3*10^12-$A71)*-1&lt;0,0,1)*IF(ABS(I$3*10^12-$A72)&gt;(I$3*10^12-$A71),$A71,$A72)=I72,0,IF((I$3*10^12-$A72)*(I$3*10^12-$A71)*-1&lt;0,0,1)*IF(ABS(I$3*10^12-$A72)&gt;(I$3*10^12-$A71),$A71,$A72))</f>
        <v>0</v>
      </c>
      <c r="J71">
        <f t="shared" si="12"/>
        <v>0</v>
      </c>
    </row>
    <row r="72" spans="1:10" x14ac:dyDescent="0.2">
      <c r="A72">
        <f t="shared" si="10"/>
        <v>150000</v>
      </c>
      <c r="B72">
        <f t="shared" si="14"/>
        <v>0</v>
      </c>
      <c r="C72">
        <f t="shared" si="15"/>
        <v>0</v>
      </c>
      <c r="D72">
        <f t="shared" si="15"/>
        <v>0</v>
      </c>
      <c r="E72">
        <f t="shared" si="15"/>
        <v>0</v>
      </c>
      <c r="F72">
        <f t="shared" si="16"/>
        <v>0</v>
      </c>
      <c r="G72">
        <f t="shared" si="17"/>
        <v>0</v>
      </c>
      <c r="H72">
        <f t="shared" si="18"/>
        <v>0</v>
      </c>
      <c r="I72">
        <f t="shared" si="19"/>
        <v>0</v>
      </c>
      <c r="J72">
        <f t="shared" si="12"/>
        <v>0</v>
      </c>
    </row>
    <row r="73" spans="1:10" x14ac:dyDescent="0.2">
      <c r="A73">
        <f t="shared" si="10"/>
        <v>180000</v>
      </c>
      <c r="B73">
        <f t="shared" si="14"/>
        <v>0</v>
      </c>
      <c r="C73">
        <f t="shared" si="15"/>
        <v>0</v>
      </c>
      <c r="D73">
        <f t="shared" si="15"/>
        <v>0</v>
      </c>
      <c r="E73">
        <f t="shared" si="15"/>
        <v>0</v>
      </c>
      <c r="F73">
        <f t="shared" si="16"/>
        <v>0</v>
      </c>
      <c r="G73">
        <f t="shared" si="17"/>
        <v>0</v>
      </c>
      <c r="H73">
        <f t="shared" si="18"/>
        <v>0</v>
      </c>
      <c r="I73">
        <f t="shared" si="19"/>
        <v>0</v>
      </c>
      <c r="J73">
        <f t="shared" si="12"/>
        <v>0</v>
      </c>
    </row>
    <row r="74" spans="1:10" x14ac:dyDescent="0.2">
      <c r="A74">
        <f t="shared" si="10"/>
        <v>220000</v>
      </c>
      <c r="B74">
        <f t="shared" si="14"/>
        <v>0</v>
      </c>
      <c r="C74">
        <f t="shared" si="15"/>
        <v>0</v>
      </c>
      <c r="D74">
        <f t="shared" si="15"/>
        <v>0</v>
      </c>
      <c r="E74">
        <f t="shared" si="15"/>
        <v>0</v>
      </c>
      <c r="F74">
        <f t="shared" si="16"/>
        <v>0</v>
      </c>
      <c r="G74">
        <f t="shared" si="17"/>
        <v>0</v>
      </c>
      <c r="H74">
        <f t="shared" si="18"/>
        <v>0</v>
      </c>
      <c r="I74">
        <f t="shared" si="19"/>
        <v>0</v>
      </c>
      <c r="J74">
        <f t="shared" si="12"/>
        <v>0</v>
      </c>
    </row>
    <row r="75" spans="1:10" x14ac:dyDescent="0.2">
      <c r="A75">
        <f t="shared" si="10"/>
        <v>270000</v>
      </c>
      <c r="B75">
        <f t="shared" si="14"/>
        <v>0</v>
      </c>
      <c r="C75">
        <f t="shared" si="15"/>
        <v>0</v>
      </c>
      <c r="D75">
        <f t="shared" si="15"/>
        <v>0</v>
      </c>
      <c r="E75">
        <f t="shared" si="15"/>
        <v>0</v>
      </c>
      <c r="F75">
        <f t="shared" si="16"/>
        <v>0</v>
      </c>
      <c r="G75">
        <f t="shared" si="17"/>
        <v>0</v>
      </c>
      <c r="H75">
        <f t="shared" si="18"/>
        <v>0</v>
      </c>
      <c r="I75">
        <f t="shared" si="19"/>
        <v>0</v>
      </c>
      <c r="J75">
        <f t="shared" si="12"/>
        <v>0</v>
      </c>
    </row>
    <row r="76" spans="1:10" x14ac:dyDescent="0.2">
      <c r="A76">
        <f t="shared" si="10"/>
        <v>330000</v>
      </c>
      <c r="B76">
        <f t="shared" si="14"/>
        <v>0</v>
      </c>
      <c r="C76">
        <f t="shared" si="15"/>
        <v>0</v>
      </c>
      <c r="D76">
        <f t="shared" si="15"/>
        <v>0</v>
      </c>
      <c r="E76">
        <f t="shared" si="15"/>
        <v>0</v>
      </c>
      <c r="F76">
        <f t="shared" si="16"/>
        <v>0</v>
      </c>
      <c r="G76">
        <f t="shared" si="17"/>
        <v>0</v>
      </c>
      <c r="H76">
        <f t="shared" si="18"/>
        <v>0</v>
      </c>
      <c r="I76">
        <f t="shared" si="19"/>
        <v>0</v>
      </c>
      <c r="J76">
        <f t="shared" si="12"/>
        <v>0</v>
      </c>
    </row>
    <row r="77" spans="1:10" x14ac:dyDescent="0.2">
      <c r="A77">
        <f t="shared" si="10"/>
        <v>390000</v>
      </c>
      <c r="B77">
        <f t="shared" si="14"/>
        <v>0</v>
      </c>
      <c r="C77">
        <f t="shared" si="15"/>
        <v>0</v>
      </c>
      <c r="D77">
        <f t="shared" si="15"/>
        <v>0</v>
      </c>
      <c r="E77">
        <f t="shared" si="15"/>
        <v>0</v>
      </c>
      <c r="F77">
        <f t="shared" si="16"/>
        <v>0</v>
      </c>
      <c r="G77">
        <f t="shared" si="17"/>
        <v>0</v>
      </c>
      <c r="H77">
        <f t="shared" si="18"/>
        <v>0</v>
      </c>
      <c r="I77">
        <f t="shared" si="19"/>
        <v>0</v>
      </c>
      <c r="J77">
        <f t="shared" si="12"/>
        <v>0</v>
      </c>
    </row>
    <row r="78" spans="1:10" x14ac:dyDescent="0.2">
      <c r="A78">
        <f t="shared" si="10"/>
        <v>470000</v>
      </c>
      <c r="B78">
        <f t="shared" si="14"/>
        <v>0</v>
      </c>
      <c r="C78">
        <f t="shared" si="15"/>
        <v>0</v>
      </c>
      <c r="D78">
        <f t="shared" si="15"/>
        <v>0</v>
      </c>
      <c r="E78">
        <f t="shared" si="15"/>
        <v>0</v>
      </c>
      <c r="F78">
        <f t="shared" si="16"/>
        <v>0</v>
      </c>
      <c r="G78">
        <f t="shared" si="17"/>
        <v>0</v>
      </c>
      <c r="H78">
        <f t="shared" si="18"/>
        <v>0</v>
      </c>
      <c r="I78">
        <f t="shared" si="19"/>
        <v>0</v>
      </c>
      <c r="J78">
        <f t="shared" si="12"/>
        <v>0</v>
      </c>
    </row>
    <row r="79" spans="1:10" x14ac:dyDescent="0.2">
      <c r="A79">
        <f t="shared" si="10"/>
        <v>560000</v>
      </c>
      <c r="B79">
        <f t="shared" si="14"/>
        <v>0</v>
      </c>
      <c r="C79">
        <f t="shared" si="15"/>
        <v>0</v>
      </c>
      <c r="D79">
        <f t="shared" si="15"/>
        <v>0</v>
      </c>
      <c r="E79">
        <f t="shared" si="15"/>
        <v>0</v>
      </c>
      <c r="F79">
        <f t="shared" si="16"/>
        <v>0</v>
      </c>
      <c r="G79">
        <f t="shared" si="17"/>
        <v>0</v>
      </c>
      <c r="H79">
        <f t="shared" si="18"/>
        <v>0</v>
      </c>
      <c r="I79">
        <f t="shared" si="19"/>
        <v>0</v>
      </c>
      <c r="J79">
        <f t="shared" si="12"/>
        <v>0</v>
      </c>
    </row>
    <row r="80" spans="1:10" x14ac:dyDescent="0.2">
      <c r="A80">
        <f t="shared" si="10"/>
        <v>680000</v>
      </c>
      <c r="B80">
        <f t="shared" si="14"/>
        <v>0</v>
      </c>
      <c r="C80">
        <f t="shared" si="15"/>
        <v>0</v>
      </c>
      <c r="D80">
        <f t="shared" si="15"/>
        <v>0</v>
      </c>
      <c r="E80">
        <f t="shared" si="15"/>
        <v>0</v>
      </c>
      <c r="F80">
        <f t="shared" si="16"/>
        <v>0</v>
      </c>
      <c r="G80">
        <f t="shared" si="17"/>
        <v>0</v>
      </c>
      <c r="H80">
        <f t="shared" si="18"/>
        <v>0</v>
      </c>
      <c r="I80">
        <f t="shared" si="19"/>
        <v>0</v>
      </c>
      <c r="J80">
        <f t="shared" si="12"/>
        <v>0</v>
      </c>
    </row>
    <row r="81" spans="1:10" x14ac:dyDescent="0.2">
      <c r="A81">
        <f t="shared" si="10"/>
        <v>820000</v>
      </c>
      <c r="B81">
        <f t="shared" si="14"/>
        <v>0</v>
      </c>
      <c r="C81">
        <f t="shared" si="15"/>
        <v>0</v>
      </c>
      <c r="D81">
        <f t="shared" si="15"/>
        <v>0</v>
      </c>
      <c r="E81">
        <f t="shared" si="15"/>
        <v>0</v>
      </c>
      <c r="F81">
        <f t="shared" si="16"/>
        <v>0</v>
      </c>
      <c r="G81">
        <f t="shared" si="17"/>
        <v>0</v>
      </c>
      <c r="H81">
        <f t="shared" si="18"/>
        <v>0</v>
      </c>
      <c r="I81">
        <f t="shared" si="19"/>
        <v>0</v>
      </c>
      <c r="J81">
        <f t="shared" si="12"/>
        <v>0</v>
      </c>
    </row>
    <row r="82" spans="1:10" x14ac:dyDescent="0.2">
      <c r="A82">
        <f t="shared" si="10"/>
        <v>1000000</v>
      </c>
      <c r="B82">
        <f t="shared" si="14"/>
        <v>0</v>
      </c>
      <c r="C82">
        <f t="shared" si="15"/>
        <v>0</v>
      </c>
      <c r="D82">
        <f t="shared" si="15"/>
        <v>0</v>
      </c>
      <c r="E82">
        <f t="shared" si="15"/>
        <v>0</v>
      </c>
      <c r="F82">
        <f t="shared" si="16"/>
        <v>0</v>
      </c>
      <c r="G82">
        <f t="shared" si="17"/>
        <v>0</v>
      </c>
      <c r="H82">
        <f t="shared" si="18"/>
        <v>0</v>
      </c>
      <c r="I82">
        <f t="shared" si="19"/>
        <v>0</v>
      </c>
      <c r="J82">
        <f t="shared" si="12"/>
        <v>0</v>
      </c>
    </row>
    <row r="83" spans="1:10" x14ac:dyDescent="0.2">
      <c r="A83">
        <f t="shared" si="10"/>
        <v>1200000</v>
      </c>
      <c r="B83">
        <f t="shared" si="14"/>
        <v>0</v>
      </c>
      <c r="C83">
        <f t="shared" si="15"/>
        <v>0</v>
      </c>
      <c r="D83">
        <f t="shared" si="15"/>
        <v>0</v>
      </c>
      <c r="E83">
        <f t="shared" si="15"/>
        <v>0</v>
      </c>
      <c r="F83">
        <f t="shared" si="16"/>
        <v>0</v>
      </c>
      <c r="G83">
        <f t="shared" si="17"/>
        <v>0</v>
      </c>
      <c r="H83">
        <f t="shared" si="18"/>
        <v>0</v>
      </c>
      <c r="I83">
        <f t="shared" si="19"/>
        <v>0</v>
      </c>
      <c r="J83">
        <f t="shared" si="12"/>
        <v>0</v>
      </c>
    </row>
    <row r="84" spans="1:10" x14ac:dyDescent="0.2">
      <c r="A84">
        <f t="shared" si="10"/>
        <v>1500000</v>
      </c>
      <c r="B84">
        <f t="shared" si="14"/>
        <v>0</v>
      </c>
      <c r="C84">
        <f t="shared" si="15"/>
        <v>0</v>
      </c>
      <c r="D84">
        <f t="shared" si="15"/>
        <v>0</v>
      </c>
      <c r="E84">
        <f t="shared" si="15"/>
        <v>0</v>
      </c>
      <c r="F84">
        <f t="shared" si="16"/>
        <v>0</v>
      </c>
      <c r="G84">
        <f t="shared" si="17"/>
        <v>0</v>
      </c>
      <c r="H84">
        <f t="shared" si="18"/>
        <v>0</v>
      </c>
      <c r="I84">
        <f t="shared" si="19"/>
        <v>0</v>
      </c>
      <c r="J84">
        <f t="shared" si="12"/>
        <v>0</v>
      </c>
    </row>
    <row r="85" spans="1:10" x14ac:dyDescent="0.2">
      <c r="A85">
        <f t="shared" si="10"/>
        <v>1800000</v>
      </c>
      <c r="B85">
        <f t="shared" si="14"/>
        <v>0</v>
      </c>
      <c r="C85">
        <f t="shared" si="15"/>
        <v>0</v>
      </c>
      <c r="D85">
        <f t="shared" si="15"/>
        <v>0</v>
      </c>
      <c r="E85">
        <f t="shared" si="15"/>
        <v>0</v>
      </c>
      <c r="F85">
        <f t="shared" si="16"/>
        <v>0</v>
      </c>
      <c r="G85">
        <f t="shared" si="17"/>
        <v>0</v>
      </c>
      <c r="H85">
        <f t="shared" si="18"/>
        <v>0</v>
      </c>
      <c r="I85">
        <f t="shared" si="19"/>
        <v>0</v>
      </c>
      <c r="J85">
        <f t="shared" si="12"/>
        <v>0</v>
      </c>
    </row>
    <row r="86" spans="1:10" x14ac:dyDescent="0.2">
      <c r="A86">
        <f t="shared" si="10"/>
        <v>2200000</v>
      </c>
      <c r="B86">
        <f t="shared" si="14"/>
        <v>0</v>
      </c>
      <c r="C86">
        <f t="shared" si="15"/>
        <v>0</v>
      </c>
      <c r="D86">
        <f t="shared" si="15"/>
        <v>0</v>
      </c>
      <c r="E86">
        <f t="shared" si="15"/>
        <v>0</v>
      </c>
      <c r="F86">
        <f t="shared" si="16"/>
        <v>0</v>
      </c>
      <c r="G86">
        <f t="shared" si="17"/>
        <v>0</v>
      </c>
      <c r="H86">
        <f t="shared" si="18"/>
        <v>0</v>
      </c>
      <c r="I86">
        <f t="shared" si="19"/>
        <v>0</v>
      </c>
      <c r="J86">
        <f t="shared" si="12"/>
        <v>0</v>
      </c>
    </row>
    <row r="87" spans="1:10" x14ac:dyDescent="0.2">
      <c r="A87">
        <f t="shared" si="10"/>
        <v>2700000</v>
      </c>
      <c r="B87">
        <f t="shared" si="14"/>
        <v>0</v>
      </c>
      <c r="C87">
        <f t="shared" si="15"/>
        <v>0</v>
      </c>
      <c r="D87">
        <f t="shared" si="15"/>
        <v>0</v>
      </c>
      <c r="E87">
        <f t="shared" si="15"/>
        <v>0</v>
      </c>
      <c r="F87">
        <f t="shared" si="16"/>
        <v>0</v>
      </c>
      <c r="G87">
        <f t="shared" si="17"/>
        <v>0</v>
      </c>
      <c r="H87">
        <f t="shared" si="18"/>
        <v>0</v>
      </c>
      <c r="I87">
        <f t="shared" si="19"/>
        <v>0</v>
      </c>
      <c r="J87">
        <f t="shared" si="12"/>
        <v>0</v>
      </c>
    </row>
    <row r="88" spans="1:10" x14ac:dyDescent="0.2">
      <c r="A88">
        <f t="shared" si="10"/>
        <v>3300000</v>
      </c>
      <c r="B88">
        <f t="shared" si="14"/>
        <v>0</v>
      </c>
      <c r="C88">
        <f t="shared" si="15"/>
        <v>0</v>
      </c>
      <c r="D88">
        <f t="shared" si="15"/>
        <v>0</v>
      </c>
      <c r="E88">
        <f t="shared" si="15"/>
        <v>0</v>
      </c>
      <c r="F88">
        <f t="shared" si="16"/>
        <v>0</v>
      </c>
      <c r="G88">
        <f t="shared" si="17"/>
        <v>0</v>
      </c>
      <c r="H88">
        <f t="shared" si="18"/>
        <v>0</v>
      </c>
      <c r="I88">
        <f t="shared" si="19"/>
        <v>0</v>
      </c>
      <c r="J88">
        <f t="shared" si="12"/>
        <v>0</v>
      </c>
    </row>
    <row r="89" spans="1:10" x14ac:dyDescent="0.2">
      <c r="A89">
        <f t="shared" si="10"/>
        <v>3900000</v>
      </c>
      <c r="B89">
        <f t="shared" si="14"/>
        <v>0</v>
      </c>
      <c r="C89">
        <f t="shared" si="15"/>
        <v>0</v>
      </c>
      <c r="D89">
        <f t="shared" si="15"/>
        <v>0</v>
      </c>
      <c r="E89">
        <f t="shared" si="15"/>
        <v>0</v>
      </c>
      <c r="F89">
        <f t="shared" si="16"/>
        <v>0</v>
      </c>
      <c r="G89">
        <f t="shared" si="17"/>
        <v>0</v>
      </c>
      <c r="H89">
        <f t="shared" si="18"/>
        <v>0</v>
      </c>
      <c r="I89">
        <f t="shared" si="19"/>
        <v>0</v>
      </c>
      <c r="J89">
        <f t="shared" si="12"/>
        <v>0</v>
      </c>
    </row>
    <row r="90" spans="1:10" x14ac:dyDescent="0.2">
      <c r="A90">
        <f t="shared" si="10"/>
        <v>4700000</v>
      </c>
      <c r="B90">
        <f t="shared" si="14"/>
        <v>0</v>
      </c>
      <c r="C90">
        <f t="shared" si="15"/>
        <v>0</v>
      </c>
      <c r="D90">
        <f t="shared" si="15"/>
        <v>0</v>
      </c>
      <c r="E90">
        <f t="shared" si="15"/>
        <v>0</v>
      </c>
      <c r="F90">
        <f t="shared" si="16"/>
        <v>0</v>
      </c>
      <c r="G90">
        <f t="shared" si="17"/>
        <v>0</v>
      </c>
      <c r="H90">
        <f t="shared" si="18"/>
        <v>0</v>
      </c>
      <c r="I90">
        <f t="shared" si="19"/>
        <v>0</v>
      </c>
      <c r="J90">
        <f t="shared" si="12"/>
        <v>0</v>
      </c>
    </row>
    <row r="91" spans="1:10" x14ac:dyDescent="0.2">
      <c r="A91">
        <f t="shared" si="10"/>
        <v>5600000</v>
      </c>
      <c r="B91">
        <f t="shared" si="14"/>
        <v>0</v>
      </c>
      <c r="C91">
        <f t="shared" si="15"/>
        <v>0</v>
      </c>
      <c r="D91">
        <f t="shared" si="15"/>
        <v>0</v>
      </c>
      <c r="E91">
        <f t="shared" si="15"/>
        <v>0</v>
      </c>
      <c r="F91">
        <f t="shared" si="16"/>
        <v>0</v>
      </c>
      <c r="G91">
        <f t="shared" si="17"/>
        <v>0</v>
      </c>
      <c r="H91">
        <f t="shared" si="18"/>
        <v>0</v>
      </c>
      <c r="I91">
        <f t="shared" si="19"/>
        <v>0</v>
      </c>
      <c r="J91">
        <f t="shared" si="12"/>
        <v>0</v>
      </c>
    </row>
    <row r="92" spans="1:10" x14ac:dyDescent="0.2">
      <c r="A92">
        <f t="shared" si="10"/>
        <v>6800000</v>
      </c>
      <c r="B92">
        <f t="shared" si="14"/>
        <v>0</v>
      </c>
      <c r="C92">
        <f t="shared" si="15"/>
        <v>0</v>
      </c>
      <c r="D92">
        <f t="shared" si="15"/>
        <v>0</v>
      </c>
      <c r="E92">
        <f t="shared" si="15"/>
        <v>0</v>
      </c>
      <c r="F92">
        <f t="shared" si="16"/>
        <v>0</v>
      </c>
      <c r="G92">
        <f t="shared" si="17"/>
        <v>0</v>
      </c>
      <c r="H92">
        <f t="shared" si="18"/>
        <v>0</v>
      </c>
      <c r="I92">
        <f t="shared" si="19"/>
        <v>0</v>
      </c>
      <c r="J92">
        <f t="shared" si="12"/>
        <v>0</v>
      </c>
    </row>
    <row r="93" spans="1:10" x14ac:dyDescent="0.2">
      <c r="A93">
        <f t="shared" si="10"/>
        <v>8200000</v>
      </c>
      <c r="B93">
        <f t="shared" si="14"/>
        <v>0</v>
      </c>
      <c r="C93">
        <f t="shared" si="15"/>
        <v>0</v>
      </c>
      <c r="D93">
        <f t="shared" si="15"/>
        <v>0</v>
      </c>
      <c r="E93">
        <f t="shared" si="15"/>
        <v>0</v>
      </c>
      <c r="F93">
        <f t="shared" si="16"/>
        <v>0</v>
      </c>
      <c r="G93">
        <f t="shared" si="17"/>
        <v>0</v>
      </c>
      <c r="H93">
        <f t="shared" si="18"/>
        <v>0</v>
      </c>
      <c r="I93">
        <f t="shared" si="19"/>
        <v>0</v>
      </c>
      <c r="J93">
        <f t="shared" si="12"/>
        <v>0</v>
      </c>
    </row>
    <row r="94" spans="1:10" x14ac:dyDescent="0.2">
      <c r="A94">
        <f t="shared" si="10"/>
        <v>10000000</v>
      </c>
      <c r="B94">
        <f t="shared" si="14"/>
        <v>0</v>
      </c>
      <c r="C94">
        <f t="shared" si="15"/>
        <v>0</v>
      </c>
      <c r="D94">
        <f t="shared" si="15"/>
        <v>0</v>
      </c>
      <c r="E94">
        <f t="shared" si="15"/>
        <v>0</v>
      </c>
      <c r="F94">
        <f t="shared" si="16"/>
        <v>0</v>
      </c>
      <c r="G94">
        <f t="shared" si="17"/>
        <v>0</v>
      </c>
      <c r="H94">
        <f t="shared" si="18"/>
        <v>0</v>
      </c>
      <c r="I94">
        <f t="shared" si="19"/>
        <v>0</v>
      </c>
      <c r="J94">
        <f t="shared" si="12"/>
        <v>0</v>
      </c>
    </row>
    <row r="95" spans="1:10" x14ac:dyDescent="0.2">
      <c r="A95">
        <f t="shared" si="10"/>
        <v>12000000</v>
      </c>
      <c r="B95">
        <f t="shared" si="14"/>
        <v>0</v>
      </c>
      <c r="C95">
        <f t="shared" si="15"/>
        <v>0</v>
      </c>
      <c r="D95">
        <f t="shared" si="15"/>
        <v>0</v>
      </c>
      <c r="E95">
        <f t="shared" si="15"/>
        <v>0</v>
      </c>
      <c r="F95">
        <f t="shared" si="16"/>
        <v>0</v>
      </c>
      <c r="G95">
        <f t="shared" si="17"/>
        <v>0</v>
      </c>
      <c r="H95">
        <f t="shared" si="18"/>
        <v>0</v>
      </c>
      <c r="I95">
        <f t="shared" si="19"/>
        <v>0</v>
      </c>
      <c r="J95">
        <f t="shared" si="12"/>
        <v>0</v>
      </c>
    </row>
    <row r="96" spans="1:10" x14ac:dyDescent="0.2">
      <c r="A96">
        <f t="shared" si="10"/>
        <v>15000000</v>
      </c>
      <c r="B96">
        <f t="shared" si="14"/>
        <v>0</v>
      </c>
      <c r="C96">
        <f t="shared" si="15"/>
        <v>0</v>
      </c>
      <c r="D96">
        <f t="shared" si="15"/>
        <v>0</v>
      </c>
      <c r="E96">
        <f t="shared" si="15"/>
        <v>0</v>
      </c>
      <c r="F96">
        <f t="shared" si="16"/>
        <v>0</v>
      </c>
      <c r="G96">
        <f t="shared" si="17"/>
        <v>0</v>
      </c>
      <c r="H96">
        <f t="shared" si="18"/>
        <v>0</v>
      </c>
      <c r="I96">
        <f t="shared" si="19"/>
        <v>0</v>
      </c>
      <c r="J96">
        <f t="shared" si="12"/>
        <v>0</v>
      </c>
    </row>
    <row r="97" spans="1:10" x14ac:dyDescent="0.2">
      <c r="A97">
        <f t="shared" si="10"/>
        <v>18000000</v>
      </c>
      <c r="B97">
        <f t="shared" si="14"/>
        <v>0</v>
      </c>
      <c r="C97">
        <f t="shared" si="15"/>
        <v>0</v>
      </c>
      <c r="D97">
        <f t="shared" si="15"/>
        <v>0</v>
      </c>
      <c r="E97">
        <f t="shared" si="15"/>
        <v>0</v>
      </c>
      <c r="F97">
        <f t="shared" si="16"/>
        <v>0</v>
      </c>
      <c r="G97">
        <f t="shared" si="17"/>
        <v>0</v>
      </c>
      <c r="H97">
        <f t="shared" si="18"/>
        <v>0</v>
      </c>
      <c r="I97">
        <f t="shared" si="19"/>
        <v>0</v>
      </c>
      <c r="J97">
        <f t="shared" si="12"/>
        <v>0</v>
      </c>
    </row>
    <row r="98" spans="1:10" x14ac:dyDescent="0.2">
      <c r="A98">
        <f t="shared" si="10"/>
        <v>22000000</v>
      </c>
      <c r="B98">
        <f t="shared" si="14"/>
        <v>0</v>
      </c>
      <c r="C98">
        <f t="shared" si="15"/>
        <v>0</v>
      </c>
      <c r="D98">
        <f t="shared" si="15"/>
        <v>0</v>
      </c>
      <c r="E98">
        <f t="shared" si="15"/>
        <v>0</v>
      </c>
      <c r="F98">
        <f t="shared" si="16"/>
        <v>0</v>
      </c>
      <c r="G98">
        <f t="shared" si="17"/>
        <v>0</v>
      </c>
      <c r="H98">
        <f t="shared" si="18"/>
        <v>0</v>
      </c>
      <c r="I98">
        <f t="shared" si="19"/>
        <v>0</v>
      </c>
      <c r="J98">
        <f t="shared" si="12"/>
        <v>0</v>
      </c>
    </row>
    <row r="99" spans="1:10" x14ac:dyDescent="0.2">
      <c r="A99">
        <f t="shared" ref="A99:A159" si="20">A87*10</f>
        <v>27000000</v>
      </c>
      <c r="B99">
        <f t="shared" si="14"/>
        <v>0</v>
      </c>
      <c r="C99">
        <f t="shared" si="15"/>
        <v>0</v>
      </c>
      <c r="D99">
        <f t="shared" si="15"/>
        <v>0</v>
      </c>
      <c r="E99">
        <f t="shared" si="15"/>
        <v>0</v>
      </c>
      <c r="F99">
        <f t="shared" si="16"/>
        <v>0</v>
      </c>
      <c r="G99">
        <f t="shared" si="17"/>
        <v>0</v>
      </c>
      <c r="H99">
        <f t="shared" si="18"/>
        <v>0</v>
      </c>
      <c r="I99">
        <f t="shared" si="19"/>
        <v>0</v>
      </c>
      <c r="J99">
        <f t="shared" si="12"/>
        <v>0</v>
      </c>
    </row>
    <row r="100" spans="1:10" x14ac:dyDescent="0.2">
      <c r="A100">
        <f t="shared" si="20"/>
        <v>33000000</v>
      </c>
      <c r="B100">
        <f t="shared" si="14"/>
        <v>0</v>
      </c>
      <c r="C100">
        <f t="shared" si="15"/>
        <v>0</v>
      </c>
      <c r="D100">
        <f t="shared" si="15"/>
        <v>0</v>
      </c>
      <c r="E100">
        <f t="shared" si="15"/>
        <v>0</v>
      </c>
      <c r="F100">
        <f t="shared" si="16"/>
        <v>0</v>
      </c>
      <c r="G100">
        <f t="shared" si="17"/>
        <v>0</v>
      </c>
      <c r="H100">
        <f t="shared" si="18"/>
        <v>0</v>
      </c>
      <c r="I100">
        <f t="shared" si="19"/>
        <v>0</v>
      </c>
      <c r="J100">
        <f t="shared" si="12"/>
        <v>0</v>
      </c>
    </row>
    <row r="101" spans="1:10" x14ac:dyDescent="0.2">
      <c r="A101">
        <f t="shared" si="20"/>
        <v>39000000</v>
      </c>
      <c r="B101">
        <f t="shared" si="14"/>
        <v>0</v>
      </c>
      <c r="C101">
        <f t="shared" si="15"/>
        <v>0</v>
      </c>
      <c r="D101">
        <f t="shared" si="15"/>
        <v>0</v>
      </c>
      <c r="E101">
        <f t="shared" si="15"/>
        <v>0</v>
      </c>
      <c r="F101">
        <f t="shared" si="16"/>
        <v>0</v>
      </c>
      <c r="G101">
        <f t="shared" si="17"/>
        <v>0</v>
      </c>
      <c r="H101">
        <f t="shared" si="18"/>
        <v>0</v>
      </c>
      <c r="I101">
        <f t="shared" si="19"/>
        <v>0</v>
      </c>
      <c r="J101">
        <f t="shared" si="12"/>
        <v>0</v>
      </c>
    </row>
    <row r="102" spans="1:10" x14ac:dyDescent="0.2">
      <c r="A102">
        <f t="shared" si="20"/>
        <v>47000000</v>
      </c>
      <c r="B102">
        <f t="shared" si="14"/>
        <v>0</v>
      </c>
      <c r="C102">
        <f t="shared" si="15"/>
        <v>0</v>
      </c>
      <c r="D102">
        <f t="shared" si="15"/>
        <v>0</v>
      </c>
      <c r="E102">
        <f t="shared" si="15"/>
        <v>0</v>
      </c>
      <c r="F102">
        <f t="shared" si="16"/>
        <v>0</v>
      </c>
      <c r="G102">
        <f t="shared" si="17"/>
        <v>0</v>
      </c>
      <c r="H102">
        <f t="shared" si="18"/>
        <v>0</v>
      </c>
      <c r="I102">
        <f t="shared" si="19"/>
        <v>0</v>
      </c>
      <c r="J102">
        <f t="shared" si="12"/>
        <v>0</v>
      </c>
    </row>
    <row r="103" spans="1:10" x14ac:dyDescent="0.2">
      <c r="A103">
        <f t="shared" si="20"/>
        <v>56000000</v>
      </c>
      <c r="B103">
        <f t="shared" si="14"/>
        <v>0</v>
      </c>
      <c r="C103">
        <f t="shared" si="15"/>
        <v>0</v>
      </c>
      <c r="D103">
        <f t="shared" si="15"/>
        <v>0</v>
      </c>
      <c r="E103">
        <f t="shared" si="15"/>
        <v>0</v>
      </c>
      <c r="F103">
        <f t="shared" ref="F103:F134" si="21">IF(IF((F$3*10^12-$A104)*(F$3*10^12-$A103)*-1&lt;0,0,1)*IF(ABS(F$3*10^12-$A104)&gt;(F$3*10^12-$A103),$A103,$A104)=F104,0,IF((F$3*10^12-$A104)*(F$3*10^12-$A103)*-1&lt;0,0,1)*IF(ABS(F$3*10^12-$A104)&gt;(F$3*10^12-$A103),$A103,$A104))</f>
        <v>0</v>
      </c>
      <c r="G103">
        <f t="shared" ref="G103:G134" si="22">IF(IF((G$3*10^12-$A104)*(G$3*10^12-$A103)*-1&lt;0,0,1)*IF(ABS(G$3*10^12-$A104)&gt;(G$3*10^12-$A103),$A103,$A104)=G104,0,IF((G$3*10^12-$A104)*(G$3*10^12-$A103)*-1&lt;0,0,1)*IF(ABS(G$3*10^12-$A104)&gt;(G$3*10^12-$A103),$A103,$A104))</f>
        <v>0</v>
      </c>
      <c r="H103">
        <f t="shared" ref="H103:H134" si="23">IF(IF((H$3*10^12-$A104)*(H$3*10^12-$A103)*-1&lt;0,0,1)*IF(ABS(H$3*10^12-$A104)&gt;(H$3*10^12-$A103),$A103,$A104)=H104,0,IF((H$3*10^12-$A104)*(H$3*10^12-$A103)*-1&lt;0,0,1)*IF(ABS(H$3*10^12-$A104)&gt;(H$3*10^12-$A103),$A103,$A104))</f>
        <v>0</v>
      </c>
      <c r="I103">
        <f t="shared" ref="I103:I134" si="24">IF(IF((I$3*10^12-$A104)*(I$3*10^12-$A103)*-1&lt;0,0,1)*IF(ABS(I$3*10^12-$A104)&gt;(I$3*10^12-$A103),$A103,$A104)=I104,0,IF((I$3*10^12-$A104)*(I$3*10^12-$A103)*-1&lt;0,0,1)*IF(ABS(I$3*10^12-$A104)&gt;(I$3*10^12-$A103),$A103,$A104))</f>
        <v>0</v>
      </c>
      <c r="J103">
        <f t="shared" si="12"/>
        <v>0</v>
      </c>
    </row>
    <row r="104" spans="1:10" x14ac:dyDescent="0.2">
      <c r="A104">
        <f t="shared" si="20"/>
        <v>68000000</v>
      </c>
      <c r="B104">
        <f t="shared" si="14"/>
        <v>0</v>
      </c>
      <c r="C104">
        <f t="shared" si="15"/>
        <v>0</v>
      </c>
      <c r="D104">
        <f t="shared" si="15"/>
        <v>0</v>
      </c>
      <c r="E104">
        <f t="shared" si="15"/>
        <v>0</v>
      </c>
      <c r="F104">
        <f t="shared" si="21"/>
        <v>0</v>
      </c>
      <c r="G104">
        <f t="shared" si="22"/>
        <v>0</v>
      </c>
      <c r="H104">
        <f t="shared" si="23"/>
        <v>0</v>
      </c>
      <c r="I104">
        <f t="shared" si="24"/>
        <v>0</v>
      </c>
      <c r="J104">
        <f t="shared" si="12"/>
        <v>0</v>
      </c>
    </row>
    <row r="105" spans="1:10" x14ac:dyDescent="0.2">
      <c r="A105">
        <f t="shared" si="20"/>
        <v>82000000</v>
      </c>
      <c r="B105">
        <f t="shared" si="14"/>
        <v>0</v>
      </c>
      <c r="C105">
        <f t="shared" si="15"/>
        <v>0</v>
      </c>
      <c r="D105">
        <f t="shared" si="15"/>
        <v>0</v>
      </c>
      <c r="E105">
        <f t="shared" si="15"/>
        <v>0</v>
      </c>
      <c r="F105">
        <f t="shared" si="21"/>
        <v>0</v>
      </c>
      <c r="G105">
        <f t="shared" si="22"/>
        <v>0</v>
      </c>
      <c r="H105">
        <f t="shared" si="23"/>
        <v>0</v>
      </c>
      <c r="I105">
        <f t="shared" si="24"/>
        <v>0</v>
      </c>
      <c r="J105">
        <f t="shared" si="12"/>
        <v>0</v>
      </c>
    </row>
    <row r="106" spans="1:10" x14ac:dyDescent="0.2">
      <c r="A106">
        <f t="shared" si="20"/>
        <v>100000000</v>
      </c>
      <c r="B106">
        <f t="shared" si="14"/>
        <v>0</v>
      </c>
      <c r="C106">
        <f t="shared" si="15"/>
        <v>0</v>
      </c>
      <c r="D106">
        <f t="shared" si="15"/>
        <v>0</v>
      </c>
      <c r="E106">
        <f t="shared" si="15"/>
        <v>0</v>
      </c>
      <c r="F106">
        <f t="shared" si="21"/>
        <v>100000000</v>
      </c>
      <c r="G106">
        <f t="shared" si="22"/>
        <v>0</v>
      </c>
      <c r="H106">
        <f t="shared" si="23"/>
        <v>0</v>
      </c>
      <c r="I106">
        <f t="shared" si="24"/>
        <v>0</v>
      </c>
      <c r="J106">
        <f t="shared" si="12"/>
        <v>0</v>
      </c>
    </row>
    <row r="107" spans="1:10" x14ac:dyDescent="0.2">
      <c r="A107">
        <f t="shared" si="20"/>
        <v>120000000</v>
      </c>
      <c r="B107">
        <f t="shared" si="14"/>
        <v>0</v>
      </c>
      <c r="C107">
        <f t="shared" si="15"/>
        <v>0</v>
      </c>
      <c r="D107">
        <f t="shared" si="15"/>
        <v>0</v>
      </c>
      <c r="E107">
        <f t="shared" si="15"/>
        <v>0</v>
      </c>
      <c r="F107">
        <f t="shared" si="21"/>
        <v>0</v>
      </c>
      <c r="G107">
        <f t="shared" si="22"/>
        <v>0</v>
      </c>
      <c r="H107">
        <f t="shared" si="23"/>
        <v>0</v>
      </c>
      <c r="I107">
        <f t="shared" si="24"/>
        <v>0</v>
      </c>
      <c r="J107">
        <f t="shared" si="12"/>
        <v>0</v>
      </c>
    </row>
    <row r="108" spans="1:10" x14ac:dyDescent="0.2">
      <c r="A108">
        <f t="shared" si="20"/>
        <v>150000000</v>
      </c>
      <c r="B108">
        <f t="shared" si="14"/>
        <v>0</v>
      </c>
      <c r="C108">
        <f t="shared" si="15"/>
        <v>0</v>
      </c>
      <c r="D108">
        <f t="shared" si="15"/>
        <v>0</v>
      </c>
      <c r="E108">
        <f t="shared" si="15"/>
        <v>0</v>
      </c>
      <c r="F108">
        <f t="shared" si="21"/>
        <v>0</v>
      </c>
      <c r="G108">
        <f t="shared" si="22"/>
        <v>0</v>
      </c>
      <c r="H108">
        <f t="shared" si="23"/>
        <v>0</v>
      </c>
      <c r="I108">
        <f t="shared" si="24"/>
        <v>0</v>
      </c>
      <c r="J108">
        <f t="shared" si="12"/>
        <v>0</v>
      </c>
    </row>
    <row r="109" spans="1:10" x14ac:dyDescent="0.2">
      <c r="A109">
        <f t="shared" si="20"/>
        <v>180000000</v>
      </c>
      <c r="B109">
        <f t="shared" si="14"/>
        <v>0</v>
      </c>
      <c r="C109">
        <f t="shared" si="15"/>
        <v>0</v>
      </c>
      <c r="D109">
        <f t="shared" si="15"/>
        <v>0</v>
      </c>
      <c r="E109">
        <f t="shared" si="15"/>
        <v>0</v>
      </c>
      <c r="F109">
        <f t="shared" si="21"/>
        <v>0</v>
      </c>
      <c r="G109">
        <f t="shared" si="22"/>
        <v>0</v>
      </c>
      <c r="H109">
        <f t="shared" si="23"/>
        <v>0</v>
      </c>
      <c r="I109">
        <f t="shared" si="24"/>
        <v>0</v>
      </c>
      <c r="J109">
        <f t="shared" si="12"/>
        <v>0</v>
      </c>
    </row>
    <row r="110" spans="1:10" x14ac:dyDescent="0.2">
      <c r="A110">
        <f t="shared" si="20"/>
        <v>220000000</v>
      </c>
      <c r="B110">
        <f t="shared" si="14"/>
        <v>0</v>
      </c>
      <c r="C110">
        <f t="shared" si="15"/>
        <v>0</v>
      </c>
      <c r="D110">
        <f t="shared" si="15"/>
        <v>0</v>
      </c>
      <c r="E110">
        <f t="shared" si="15"/>
        <v>0</v>
      </c>
      <c r="F110">
        <f t="shared" si="21"/>
        <v>0</v>
      </c>
      <c r="G110">
        <f t="shared" si="22"/>
        <v>0</v>
      </c>
      <c r="H110">
        <f t="shared" si="23"/>
        <v>0</v>
      </c>
      <c r="I110">
        <f t="shared" si="24"/>
        <v>0</v>
      </c>
      <c r="J110">
        <f t="shared" si="12"/>
        <v>0</v>
      </c>
    </row>
    <row r="111" spans="1:10" x14ac:dyDescent="0.2">
      <c r="A111">
        <f t="shared" si="20"/>
        <v>270000000</v>
      </c>
      <c r="B111">
        <f t="shared" si="14"/>
        <v>0</v>
      </c>
      <c r="C111">
        <f t="shared" si="15"/>
        <v>0</v>
      </c>
      <c r="D111">
        <f t="shared" si="15"/>
        <v>0</v>
      </c>
      <c r="E111">
        <f t="shared" si="15"/>
        <v>0</v>
      </c>
      <c r="F111">
        <f t="shared" si="21"/>
        <v>0</v>
      </c>
      <c r="G111">
        <f t="shared" si="22"/>
        <v>0</v>
      </c>
      <c r="H111">
        <f t="shared" si="23"/>
        <v>0</v>
      </c>
      <c r="I111">
        <f t="shared" si="24"/>
        <v>0</v>
      </c>
      <c r="J111">
        <f t="shared" si="12"/>
        <v>0</v>
      </c>
    </row>
    <row r="112" spans="1:10" x14ac:dyDescent="0.2">
      <c r="A112">
        <f t="shared" si="20"/>
        <v>330000000</v>
      </c>
      <c r="B112">
        <f t="shared" si="14"/>
        <v>0</v>
      </c>
      <c r="C112">
        <f t="shared" si="15"/>
        <v>0</v>
      </c>
      <c r="D112">
        <f t="shared" si="15"/>
        <v>0</v>
      </c>
      <c r="E112">
        <f t="shared" si="15"/>
        <v>0</v>
      </c>
      <c r="F112">
        <f t="shared" si="21"/>
        <v>0</v>
      </c>
      <c r="G112">
        <f t="shared" si="22"/>
        <v>0</v>
      </c>
      <c r="H112">
        <f t="shared" si="23"/>
        <v>0</v>
      </c>
      <c r="I112">
        <f t="shared" si="24"/>
        <v>0</v>
      </c>
      <c r="J112">
        <f t="shared" si="12"/>
        <v>0</v>
      </c>
    </row>
    <row r="113" spans="1:10" x14ac:dyDescent="0.2">
      <c r="A113">
        <f t="shared" si="20"/>
        <v>390000000</v>
      </c>
      <c r="B113">
        <f t="shared" si="14"/>
        <v>0</v>
      </c>
      <c r="C113">
        <f t="shared" si="15"/>
        <v>0</v>
      </c>
      <c r="D113">
        <f t="shared" si="15"/>
        <v>0</v>
      </c>
      <c r="E113">
        <f t="shared" si="15"/>
        <v>0</v>
      </c>
      <c r="F113">
        <f t="shared" si="21"/>
        <v>0</v>
      </c>
      <c r="G113">
        <f t="shared" si="22"/>
        <v>0</v>
      </c>
      <c r="H113">
        <f t="shared" si="23"/>
        <v>0</v>
      </c>
      <c r="I113">
        <f t="shared" si="24"/>
        <v>0</v>
      </c>
      <c r="J113">
        <f t="shared" si="12"/>
        <v>0</v>
      </c>
    </row>
    <row r="114" spans="1:10" x14ac:dyDescent="0.2">
      <c r="A114">
        <f t="shared" si="20"/>
        <v>470000000</v>
      </c>
      <c r="B114">
        <f t="shared" si="14"/>
        <v>0</v>
      </c>
      <c r="C114">
        <f t="shared" si="15"/>
        <v>0</v>
      </c>
      <c r="D114">
        <f t="shared" si="15"/>
        <v>0</v>
      </c>
      <c r="E114">
        <f t="shared" si="15"/>
        <v>0</v>
      </c>
      <c r="F114">
        <f t="shared" si="21"/>
        <v>0</v>
      </c>
      <c r="G114">
        <f t="shared" si="22"/>
        <v>0</v>
      </c>
      <c r="H114">
        <f t="shared" si="23"/>
        <v>0</v>
      </c>
      <c r="I114">
        <f t="shared" si="24"/>
        <v>0</v>
      </c>
      <c r="J114">
        <f t="shared" si="12"/>
        <v>0</v>
      </c>
    </row>
    <row r="115" spans="1:10" x14ac:dyDescent="0.2">
      <c r="A115">
        <f t="shared" si="20"/>
        <v>560000000</v>
      </c>
      <c r="B115">
        <f t="shared" si="14"/>
        <v>0</v>
      </c>
      <c r="C115">
        <f t="shared" si="15"/>
        <v>0</v>
      </c>
      <c r="D115">
        <f t="shared" si="15"/>
        <v>0</v>
      </c>
      <c r="E115">
        <f t="shared" si="15"/>
        <v>560000000</v>
      </c>
      <c r="F115">
        <f t="shared" si="21"/>
        <v>0</v>
      </c>
      <c r="G115">
        <f t="shared" si="22"/>
        <v>0</v>
      </c>
      <c r="H115">
        <f t="shared" si="23"/>
        <v>0</v>
      </c>
      <c r="I115">
        <f t="shared" si="24"/>
        <v>0</v>
      </c>
      <c r="J115">
        <f t="shared" si="12"/>
        <v>0</v>
      </c>
    </row>
    <row r="116" spans="1:10" x14ac:dyDescent="0.2">
      <c r="A116">
        <f t="shared" si="20"/>
        <v>680000000</v>
      </c>
      <c r="B116">
        <f t="shared" si="14"/>
        <v>0</v>
      </c>
      <c r="C116">
        <f t="shared" si="15"/>
        <v>0</v>
      </c>
      <c r="D116">
        <f t="shared" si="15"/>
        <v>0</v>
      </c>
      <c r="E116">
        <f t="shared" si="15"/>
        <v>0</v>
      </c>
      <c r="F116">
        <f t="shared" si="21"/>
        <v>0</v>
      </c>
      <c r="G116">
        <f t="shared" si="22"/>
        <v>0</v>
      </c>
      <c r="H116">
        <f t="shared" si="23"/>
        <v>0</v>
      </c>
      <c r="I116">
        <f t="shared" si="24"/>
        <v>0</v>
      </c>
      <c r="J116">
        <f t="shared" si="12"/>
        <v>0</v>
      </c>
    </row>
    <row r="117" spans="1:10" x14ac:dyDescent="0.2">
      <c r="A117">
        <f t="shared" si="20"/>
        <v>820000000</v>
      </c>
      <c r="B117">
        <f t="shared" si="14"/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21"/>
        <v>0</v>
      </c>
      <c r="G117">
        <f t="shared" si="22"/>
        <v>0</v>
      </c>
      <c r="H117">
        <f t="shared" si="23"/>
        <v>0</v>
      </c>
      <c r="I117">
        <f t="shared" si="24"/>
        <v>0</v>
      </c>
      <c r="J117">
        <f t="shared" si="12"/>
        <v>0</v>
      </c>
    </row>
    <row r="118" spans="1:10" x14ac:dyDescent="0.2">
      <c r="A118">
        <f t="shared" si="20"/>
        <v>1000000000</v>
      </c>
      <c r="B118">
        <f t="shared" si="14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21"/>
        <v>0</v>
      </c>
      <c r="G118">
        <f t="shared" si="22"/>
        <v>0</v>
      </c>
      <c r="H118">
        <f t="shared" si="23"/>
        <v>0</v>
      </c>
      <c r="I118">
        <f t="shared" si="24"/>
        <v>0</v>
      </c>
      <c r="J118">
        <f t="shared" si="12"/>
        <v>0</v>
      </c>
    </row>
    <row r="119" spans="1:10" x14ac:dyDescent="0.2">
      <c r="A119">
        <f t="shared" si="20"/>
        <v>1200000000</v>
      </c>
      <c r="B119">
        <f t="shared" si="14"/>
        <v>0</v>
      </c>
      <c r="C119">
        <f t="shared" si="15"/>
        <v>0</v>
      </c>
      <c r="D119">
        <f t="shared" si="15"/>
        <v>0</v>
      </c>
      <c r="E119">
        <f t="shared" si="15"/>
        <v>0</v>
      </c>
      <c r="F119">
        <f t="shared" si="21"/>
        <v>0</v>
      </c>
      <c r="G119">
        <f t="shared" si="22"/>
        <v>0</v>
      </c>
      <c r="H119">
        <f t="shared" si="23"/>
        <v>0</v>
      </c>
      <c r="I119">
        <f t="shared" si="24"/>
        <v>0</v>
      </c>
      <c r="J119">
        <f t="shared" si="12"/>
        <v>0</v>
      </c>
    </row>
    <row r="120" spans="1:10" x14ac:dyDescent="0.2">
      <c r="A120">
        <f t="shared" si="20"/>
        <v>1500000000</v>
      </c>
      <c r="B120">
        <f t="shared" si="14"/>
        <v>0</v>
      </c>
      <c r="C120">
        <f t="shared" si="15"/>
        <v>0</v>
      </c>
      <c r="D120">
        <f t="shared" si="15"/>
        <v>0</v>
      </c>
      <c r="E120">
        <f t="shared" si="15"/>
        <v>0</v>
      </c>
      <c r="F120">
        <f t="shared" si="21"/>
        <v>0</v>
      </c>
      <c r="G120">
        <f t="shared" si="22"/>
        <v>0</v>
      </c>
      <c r="H120">
        <f t="shared" si="23"/>
        <v>0</v>
      </c>
      <c r="I120">
        <f t="shared" si="24"/>
        <v>0</v>
      </c>
      <c r="J120">
        <f t="shared" si="12"/>
        <v>0</v>
      </c>
    </row>
    <row r="121" spans="1:10" x14ac:dyDescent="0.2">
      <c r="A121">
        <f t="shared" si="20"/>
        <v>1800000000</v>
      </c>
      <c r="B121">
        <f t="shared" si="14"/>
        <v>0</v>
      </c>
      <c r="C121">
        <f t="shared" si="15"/>
        <v>0</v>
      </c>
      <c r="D121">
        <f t="shared" si="15"/>
        <v>0</v>
      </c>
      <c r="E121">
        <f t="shared" si="15"/>
        <v>0</v>
      </c>
      <c r="F121">
        <f t="shared" si="21"/>
        <v>0</v>
      </c>
      <c r="G121">
        <f t="shared" si="22"/>
        <v>0</v>
      </c>
      <c r="H121">
        <f t="shared" si="23"/>
        <v>0</v>
      </c>
      <c r="I121">
        <f t="shared" si="24"/>
        <v>0</v>
      </c>
      <c r="J121">
        <f t="shared" si="12"/>
        <v>0</v>
      </c>
    </row>
    <row r="122" spans="1:10" x14ac:dyDescent="0.2">
      <c r="A122">
        <f t="shared" si="20"/>
        <v>2200000000</v>
      </c>
      <c r="B122">
        <f t="shared" si="14"/>
        <v>0</v>
      </c>
      <c r="C122">
        <f t="shared" si="15"/>
        <v>0</v>
      </c>
      <c r="D122">
        <f t="shared" si="15"/>
        <v>0</v>
      </c>
      <c r="E122">
        <f t="shared" si="15"/>
        <v>0</v>
      </c>
      <c r="F122">
        <f t="shared" si="21"/>
        <v>0</v>
      </c>
      <c r="G122">
        <f t="shared" si="22"/>
        <v>0</v>
      </c>
      <c r="H122">
        <f t="shared" si="23"/>
        <v>0</v>
      </c>
      <c r="I122">
        <f t="shared" si="24"/>
        <v>0</v>
      </c>
      <c r="J122">
        <f t="shared" si="12"/>
        <v>0</v>
      </c>
    </row>
    <row r="123" spans="1:10" x14ac:dyDescent="0.2">
      <c r="A123">
        <f t="shared" si="20"/>
        <v>2700000000</v>
      </c>
      <c r="B123">
        <f t="shared" si="14"/>
        <v>0</v>
      </c>
      <c r="C123">
        <f t="shared" si="15"/>
        <v>0</v>
      </c>
      <c r="D123">
        <f t="shared" si="15"/>
        <v>0</v>
      </c>
      <c r="E123">
        <f t="shared" si="15"/>
        <v>0</v>
      </c>
      <c r="F123">
        <f t="shared" si="21"/>
        <v>0</v>
      </c>
      <c r="G123">
        <f t="shared" si="22"/>
        <v>0</v>
      </c>
      <c r="H123">
        <f t="shared" si="23"/>
        <v>0</v>
      </c>
      <c r="I123">
        <f t="shared" si="24"/>
        <v>0</v>
      </c>
      <c r="J123">
        <f t="shared" si="12"/>
        <v>0</v>
      </c>
    </row>
    <row r="124" spans="1:10" x14ac:dyDescent="0.2">
      <c r="A124">
        <f t="shared" si="20"/>
        <v>3300000000</v>
      </c>
      <c r="B124">
        <f t="shared" si="14"/>
        <v>0</v>
      </c>
      <c r="C124">
        <f t="shared" si="15"/>
        <v>0</v>
      </c>
      <c r="D124">
        <f t="shared" si="15"/>
        <v>0</v>
      </c>
      <c r="E124">
        <f t="shared" si="15"/>
        <v>0</v>
      </c>
      <c r="F124">
        <f t="shared" si="21"/>
        <v>0</v>
      </c>
      <c r="G124">
        <f t="shared" si="22"/>
        <v>0</v>
      </c>
      <c r="H124">
        <f t="shared" si="23"/>
        <v>0</v>
      </c>
      <c r="I124">
        <f t="shared" si="24"/>
        <v>0</v>
      </c>
      <c r="J124">
        <f t="shared" si="12"/>
        <v>0</v>
      </c>
    </row>
    <row r="125" spans="1:10" x14ac:dyDescent="0.2">
      <c r="A125">
        <f t="shared" si="20"/>
        <v>3900000000</v>
      </c>
      <c r="B125">
        <f t="shared" si="14"/>
        <v>0</v>
      </c>
      <c r="C125">
        <f t="shared" si="15"/>
        <v>0</v>
      </c>
      <c r="D125">
        <f t="shared" si="15"/>
        <v>0</v>
      </c>
      <c r="E125">
        <f t="shared" si="15"/>
        <v>0</v>
      </c>
      <c r="F125">
        <f t="shared" si="21"/>
        <v>0</v>
      </c>
      <c r="G125">
        <f t="shared" si="22"/>
        <v>0</v>
      </c>
      <c r="H125">
        <f t="shared" si="23"/>
        <v>0</v>
      </c>
      <c r="I125">
        <f t="shared" si="24"/>
        <v>0</v>
      </c>
      <c r="J125">
        <f t="shared" si="12"/>
        <v>0</v>
      </c>
    </row>
    <row r="126" spans="1:10" x14ac:dyDescent="0.2">
      <c r="A126">
        <f t="shared" si="20"/>
        <v>4700000000</v>
      </c>
      <c r="B126">
        <f t="shared" si="14"/>
        <v>0</v>
      </c>
      <c r="C126">
        <f t="shared" si="15"/>
        <v>0</v>
      </c>
      <c r="D126">
        <f t="shared" si="15"/>
        <v>0</v>
      </c>
      <c r="E126">
        <f t="shared" si="15"/>
        <v>0</v>
      </c>
      <c r="F126">
        <f t="shared" si="21"/>
        <v>0</v>
      </c>
      <c r="G126">
        <f t="shared" si="22"/>
        <v>0</v>
      </c>
      <c r="H126">
        <f t="shared" si="23"/>
        <v>0</v>
      </c>
      <c r="I126">
        <f t="shared" si="24"/>
        <v>0</v>
      </c>
      <c r="J126">
        <f t="shared" si="12"/>
        <v>0</v>
      </c>
    </row>
    <row r="127" spans="1:10" x14ac:dyDescent="0.2">
      <c r="A127">
        <f t="shared" si="20"/>
        <v>5600000000</v>
      </c>
      <c r="B127">
        <f t="shared" si="14"/>
        <v>0</v>
      </c>
      <c r="C127">
        <f t="shared" si="15"/>
        <v>0</v>
      </c>
      <c r="D127">
        <f t="shared" si="15"/>
        <v>0</v>
      </c>
      <c r="E127">
        <f t="shared" si="15"/>
        <v>0</v>
      </c>
      <c r="F127">
        <f t="shared" si="21"/>
        <v>0</v>
      </c>
      <c r="G127">
        <f t="shared" si="22"/>
        <v>0</v>
      </c>
      <c r="H127">
        <f t="shared" si="23"/>
        <v>0</v>
      </c>
      <c r="I127">
        <f t="shared" si="24"/>
        <v>0</v>
      </c>
      <c r="J127">
        <f t="shared" si="12"/>
        <v>0</v>
      </c>
    </row>
    <row r="128" spans="1:10" x14ac:dyDescent="0.2">
      <c r="A128">
        <f t="shared" si="20"/>
        <v>6800000000</v>
      </c>
      <c r="B128">
        <f t="shared" si="14"/>
        <v>0</v>
      </c>
      <c r="C128">
        <f t="shared" si="15"/>
        <v>0</v>
      </c>
      <c r="D128">
        <f t="shared" si="15"/>
        <v>0</v>
      </c>
      <c r="E128">
        <f t="shared" si="15"/>
        <v>0</v>
      </c>
      <c r="F128">
        <f t="shared" si="21"/>
        <v>0</v>
      </c>
      <c r="G128">
        <f t="shared" si="22"/>
        <v>0</v>
      </c>
      <c r="H128">
        <f t="shared" si="23"/>
        <v>0</v>
      </c>
      <c r="I128">
        <f t="shared" si="24"/>
        <v>0</v>
      </c>
      <c r="J128">
        <f t="shared" si="12"/>
        <v>0</v>
      </c>
    </row>
    <row r="129" spans="1:10" x14ac:dyDescent="0.2">
      <c r="A129">
        <f t="shared" si="20"/>
        <v>8200000000</v>
      </c>
      <c r="B129">
        <f t="shared" si="14"/>
        <v>0</v>
      </c>
      <c r="C129">
        <f t="shared" si="15"/>
        <v>0</v>
      </c>
      <c r="D129">
        <f t="shared" si="15"/>
        <v>0</v>
      </c>
      <c r="E129">
        <f t="shared" si="15"/>
        <v>0</v>
      </c>
      <c r="F129">
        <f t="shared" si="21"/>
        <v>0</v>
      </c>
      <c r="G129">
        <f t="shared" si="22"/>
        <v>0</v>
      </c>
      <c r="H129">
        <f t="shared" si="23"/>
        <v>0</v>
      </c>
      <c r="I129">
        <f t="shared" si="24"/>
        <v>0</v>
      </c>
      <c r="J129">
        <f t="shared" si="12"/>
        <v>0</v>
      </c>
    </row>
    <row r="130" spans="1:10" x14ac:dyDescent="0.2">
      <c r="A130">
        <f t="shared" si="20"/>
        <v>10000000000</v>
      </c>
      <c r="B130">
        <f t="shared" si="14"/>
        <v>0</v>
      </c>
      <c r="C130">
        <f t="shared" si="15"/>
        <v>0</v>
      </c>
      <c r="D130">
        <f t="shared" si="15"/>
        <v>0</v>
      </c>
      <c r="E130">
        <f t="shared" si="15"/>
        <v>0</v>
      </c>
      <c r="F130">
        <f t="shared" si="21"/>
        <v>0</v>
      </c>
      <c r="G130">
        <f t="shared" si="22"/>
        <v>0</v>
      </c>
      <c r="H130">
        <f t="shared" si="23"/>
        <v>0</v>
      </c>
      <c r="I130">
        <f t="shared" si="24"/>
        <v>0</v>
      </c>
      <c r="J130">
        <f t="shared" si="12"/>
        <v>0</v>
      </c>
    </row>
    <row r="131" spans="1:10" x14ac:dyDescent="0.2">
      <c r="A131">
        <f t="shared" si="20"/>
        <v>12000000000</v>
      </c>
      <c r="B131">
        <f t="shared" si="14"/>
        <v>0</v>
      </c>
      <c r="C131">
        <f t="shared" si="15"/>
        <v>0</v>
      </c>
      <c r="D131">
        <f t="shared" si="15"/>
        <v>0</v>
      </c>
      <c r="E131">
        <f t="shared" si="15"/>
        <v>0</v>
      </c>
      <c r="F131">
        <f t="shared" si="21"/>
        <v>0</v>
      </c>
      <c r="G131">
        <f t="shared" si="22"/>
        <v>0</v>
      </c>
      <c r="H131">
        <f t="shared" si="23"/>
        <v>0</v>
      </c>
      <c r="I131">
        <f t="shared" si="24"/>
        <v>0</v>
      </c>
      <c r="J131">
        <f t="shared" si="12"/>
        <v>0</v>
      </c>
    </row>
    <row r="132" spans="1:10" x14ac:dyDescent="0.2">
      <c r="A132">
        <f t="shared" si="20"/>
        <v>15000000000</v>
      </c>
      <c r="B132">
        <f t="shared" si="14"/>
        <v>0</v>
      </c>
      <c r="C132">
        <f t="shared" si="15"/>
        <v>0</v>
      </c>
      <c r="D132">
        <f t="shared" si="15"/>
        <v>0</v>
      </c>
      <c r="E132">
        <f t="shared" si="15"/>
        <v>0</v>
      </c>
      <c r="F132">
        <f t="shared" si="21"/>
        <v>0</v>
      </c>
      <c r="G132">
        <f t="shared" si="22"/>
        <v>0</v>
      </c>
      <c r="H132">
        <f t="shared" si="23"/>
        <v>0</v>
      </c>
      <c r="I132">
        <f t="shared" si="24"/>
        <v>0</v>
      </c>
      <c r="J132">
        <f t="shared" si="12"/>
        <v>0</v>
      </c>
    </row>
    <row r="133" spans="1:10" x14ac:dyDescent="0.2">
      <c r="A133">
        <f t="shared" si="20"/>
        <v>18000000000</v>
      </c>
      <c r="B133">
        <f t="shared" si="14"/>
        <v>0</v>
      </c>
      <c r="C133">
        <f t="shared" si="15"/>
        <v>0</v>
      </c>
      <c r="D133">
        <f t="shared" si="15"/>
        <v>0</v>
      </c>
      <c r="E133">
        <f t="shared" si="15"/>
        <v>0</v>
      </c>
      <c r="F133">
        <f t="shared" si="21"/>
        <v>0</v>
      </c>
      <c r="G133">
        <f t="shared" si="22"/>
        <v>0</v>
      </c>
      <c r="H133">
        <f t="shared" si="23"/>
        <v>0</v>
      </c>
      <c r="I133">
        <f t="shared" si="24"/>
        <v>0</v>
      </c>
      <c r="J133">
        <f>IF(IF((J$3*10^12-$A134)*(J$3*10^12-$A133)*-1&lt;0,0,1)*IF(ABS(J$3*10^12-$A134)&gt;(J$3*10^12-$A133),$A133,$A134)=J134,0,IF((J$3*10^12-$A134)*(J$3*10^12-$A133)*-1&lt;0,0,1)*IF(ABS(J$3*10^12-$A134)&gt;(J$3*10^12-$A133),$A133,$A134))</f>
        <v>0</v>
      </c>
    </row>
    <row r="134" spans="1:10" x14ac:dyDescent="0.2">
      <c r="A134">
        <f t="shared" si="20"/>
        <v>22000000000</v>
      </c>
      <c r="B134">
        <f t="shared" si="14"/>
        <v>0</v>
      </c>
      <c r="C134">
        <f t="shared" si="15"/>
        <v>0</v>
      </c>
      <c r="D134">
        <f t="shared" si="15"/>
        <v>0</v>
      </c>
      <c r="E134">
        <f t="shared" ref="E134:J159" si="25">IF(IF((E$3*10^12-$A135)*(E$3*10^12-$A134)*-1&lt;0,0,1)*IF(ABS(E$3*10^12-$A135)&gt;(E$3*10^12-$A134),$A134,$A135)=E135,0,IF((E$3*10^12-$A135)*(E$3*10^12-$A134)*-1&lt;0,0,1)*IF(ABS(E$3*10^12-$A135)&gt;(E$3*10^12-$A134),$A134,$A135))</f>
        <v>0</v>
      </c>
      <c r="F134">
        <f t="shared" si="21"/>
        <v>0</v>
      </c>
      <c r="G134">
        <f t="shared" si="22"/>
        <v>0</v>
      </c>
      <c r="H134">
        <f t="shared" si="23"/>
        <v>0</v>
      </c>
      <c r="I134">
        <f t="shared" si="24"/>
        <v>0</v>
      </c>
      <c r="J134">
        <f>IF(IF((J$3*10^12-$A135)*(J$3*10^12-$A134)*-1&lt;0,0,1)*IF(ABS(J$3*10^12-$A135)&gt;(J$3*10^12-$A134),$A134,$A135)=J135,0,IF((J$3*10^12-$A135)*(J$3*10^12-$A134)*-1&lt;0,0,1)*IF(ABS(J$3*10^12-$A135)&gt;(J$3*10^12-$A134),$A134,$A135))</f>
        <v>0</v>
      </c>
    </row>
    <row r="135" spans="1:10" x14ac:dyDescent="0.2">
      <c r="A135">
        <f t="shared" si="20"/>
        <v>27000000000</v>
      </c>
      <c r="B135">
        <f t="shared" ref="B135:B159" si="26">IF(IF((B$3*10^12-$A136)*(B$3*10^12-$A135)*-1&lt;0,0,1)*IF(ABS(B$3*10^12-$A136)&gt;(B$3*10^12-$A135),$A135,$A136)=B136,0,IF((B$3*10^12-$A136)*(B$3*10^12-$A135)*-1&lt;0,0,1)*IF(ABS(B$3*10^12-$A136)&gt;(B$3*10^12-$A135),$A135,$A136))</f>
        <v>0</v>
      </c>
      <c r="C135">
        <f t="shared" ref="C135:D159" si="27">IF(IF((C$3*10^12-$A136)*(C$3*10^12-$A135)*-1&lt;0,0,1)*IF(ABS(C$3*10^12-$A136)&gt;(C$3*10^12-$A135),$A135,$A136)=C136,0,IF((C$3*10^12-$A136)*(C$3*10^12-$A135)*-1&lt;0,0,1)*IF(ABS(C$3*10^12-$A136)&gt;(C$3*10^12-$A135),$A135,$A136))</f>
        <v>0</v>
      </c>
      <c r="D135">
        <f t="shared" si="27"/>
        <v>0</v>
      </c>
      <c r="E135">
        <f t="shared" si="25"/>
        <v>0</v>
      </c>
      <c r="F135">
        <f t="shared" si="25"/>
        <v>0</v>
      </c>
      <c r="G135">
        <f t="shared" si="25"/>
        <v>0</v>
      </c>
      <c r="H135">
        <f t="shared" si="25"/>
        <v>0</v>
      </c>
      <c r="I135">
        <f t="shared" si="25"/>
        <v>0</v>
      </c>
      <c r="J135">
        <f t="shared" si="25"/>
        <v>0</v>
      </c>
    </row>
    <row r="136" spans="1:10" x14ac:dyDescent="0.2">
      <c r="A136">
        <f t="shared" si="20"/>
        <v>33000000000</v>
      </c>
      <c r="B136">
        <f t="shared" si="26"/>
        <v>0</v>
      </c>
      <c r="C136">
        <f t="shared" si="27"/>
        <v>0</v>
      </c>
      <c r="D136">
        <f t="shared" si="27"/>
        <v>0</v>
      </c>
      <c r="E136">
        <f t="shared" si="25"/>
        <v>0</v>
      </c>
      <c r="F136">
        <f t="shared" si="25"/>
        <v>0</v>
      </c>
      <c r="G136">
        <f t="shared" si="25"/>
        <v>0</v>
      </c>
      <c r="H136">
        <f t="shared" si="25"/>
        <v>0</v>
      </c>
      <c r="I136">
        <f t="shared" si="25"/>
        <v>0</v>
      </c>
      <c r="J136">
        <f t="shared" si="25"/>
        <v>0</v>
      </c>
    </row>
    <row r="137" spans="1:10" x14ac:dyDescent="0.2">
      <c r="A137">
        <f t="shared" si="20"/>
        <v>39000000000</v>
      </c>
      <c r="B137">
        <f t="shared" si="26"/>
        <v>0</v>
      </c>
      <c r="C137">
        <f t="shared" si="27"/>
        <v>0</v>
      </c>
      <c r="D137">
        <f t="shared" si="27"/>
        <v>0</v>
      </c>
      <c r="E137">
        <f t="shared" si="25"/>
        <v>0</v>
      </c>
      <c r="F137">
        <f t="shared" si="25"/>
        <v>0</v>
      </c>
      <c r="G137">
        <f t="shared" si="25"/>
        <v>0</v>
      </c>
      <c r="H137">
        <f t="shared" si="25"/>
        <v>0</v>
      </c>
      <c r="I137">
        <f t="shared" si="25"/>
        <v>0</v>
      </c>
      <c r="J137">
        <f t="shared" si="25"/>
        <v>0</v>
      </c>
    </row>
    <row r="138" spans="1:10" x14ac:dyDescent="0.2">
      <c r="A138">
        <f t="shared" si="20"/>
        <v>47000000000</v>
      </c>
      <c r="B138">
        <f t="shared" si="26"/>
        <v>0</v>
      </c>
      <c r="C138">
        <f t="shared" si="27"/>
        <v>0</v>
      </c>
      <c r="D138">
        <f t="shared" si="27"/>
        <v>0</v>
      </c>
      <c r="E138">
        <f t="shared" si="25"/>
        <v>0</v>
      </c>
      <c r="F138">
        <f t="shared" si="25"/>
        <v>0</v>
      </c>
      <c r="G138">
        <f t="shared" si="25"/>
        <v>0</v>
      </c>
      <c r="H138">
        <f t="shared" si="25"/>
        <v>0</v>
      </c>
      <c r="I138">
        <f t="shared" si="25"/>
        <v>0</v>
      </c>
      <c r="J138">
        <f t="shared" si="25"/>
        <v>0</v>
      </c>
    </row>
    <row r="139" spans="1:10" x14ac:dyDescent="0.2">
      <c r="A139">
        <f t="shared" si="20"/>
        <v>56000000000</v>
      </c>
      <c r="B139">
        <f t="shared" si="26"/>
        <v>0</v>
      </c>
      <c r="C139">
        <f t="shared" si="27"/>
        <v>0</v>
      </c>
      <c r="D139">
        <f t="shared" si="27"/>
        <v>0</v>
      </c>
      <c r="E139">
        <f t="shared" si="25"/>
        <v>0</v>
      </c>
      <c r="F139">
        <f t="shared" si="25"/>
        <v>0</v>
      </c>
      <c r="G139">
        <f t="shared" si="25"/>
        <v>0</v>
      </c>
      <c r="H139">
        <f t="shared" si="25"/>
        <v>0</v>
      </c>
      <c r="I139">
        <f t="shared" si="25"/>
        <v>0</v>
      </c>
      <c r="J139">
        <f t="shared" si="25"/>
        <v>0</v>
      </c>
    </row>
    <row r="140" spans="1:10" x14ac:dyDescent="0.2">
      <c r="A140">
        <f t="shared" si="20"/>
        <v>68000000000</v>
      </c>
      <c r="B140">
        <f t="shared" si="26"/>
        <v>0</v>
      </c>
      <c r="C140">
        <f t="shared" si="27"/>
        <v>0</v>
      </c>
      <c r="D140">
        <f t="shared" si="27"/>
        <v>0</v>
      </c>
      <c r="E140">
        <f t="shared" si="25"/>
        <v>0</v>
      </c>
      <c r="F140">
        <f t="shared" si="25"/>
        <v>0</v>
      </c>
      <c r="G140">
        <f t="shared" si="25"/>
        <v>0</v>
      </c>
      <c r="H140">
        <f t="shared" si="25"/>
        <v>0</v>
      </c>
      <c r="I140">
        <f t="shared" si="25"/>
        <v>0</v>
      </c>
      <c r="J140">
        <f t="shared" si="25"/>
        <v>0</v>
      </c>
    </row>
    <row r="141" spans="1:10" x14ac:dyDescent="0.2">
      <c r="A141">
        <f t="shared" si="20"/>
        <v>82000000000</v>
      </c>
      <c r="B141">
        <f t="shared" si="26"/>
        <v>0</v>
      </c>
      <c r="C141">
        <f t="shared" si="27"/>
        <v>0</v>
      </c>
      <c r="D141">
        <f t="shared" si="27"/>
        <v>0</v>
      </c>
      <c r="E141">
        <f t="shared" si="25"/>
        <v>0</v>
      </c>
      <c r="F141">
        <f t="shared" si="25"/>
        <v>0</v>
      </c>
      <c r="G141">
        <f t="shared" si="25"/>
        <v>0</v>
      </c>
      <c r="H141">
        <f t="shared" si="25"/>
        <v>0</v>
      </c>
      <c r="I141">
        <f t="shared" si="25"/>
        <v>0</v>
      </c>
      <c r="J141">
        <f t="shared" si="25"/>
        <v>0</v>
      </c>
    </row>
    <row r="142" spans="1:10" x14ac:dyDescent="0.2">
      <c r="A142">
        <f t="shared" si="20"/>
        <v>100000000000</v>
      </c>
      <c r="B142">
        <f t="shared" si="26"/>
        <v>0</v>
      </c>
      <c r="C142">
        <f t="shared" si="27"/>
        <v>0</v>
      </c>
      <c r="D142">
        <f t="shared" si="27"/>
        <v>0</v>
      </c>
      <c r="E142">
        <f t="shared" si="25"/>
        <v>0</v>
      </c>
      <c r="F142">
        <f t="shared" si="25"/>
        <v>0</v>
      </c>
      <c r="G142">
        <f t="shared" si="25"/>
        <v>0</v>
      </c>
      <c r="H142">
        <f t="shared" si="25"/>
        <v>0</v>
      </c>
      <c r="I142">
        <f t="shared" si="25"/>
        <v>0</v>
      </c>
      <c r="J142">
        <f t="shared" si="25"/>
        <v>0</v>
      </c>
    </row>
    <row r="143" spans="1:10" x14ac:dyDescent="0.2">
      <c r="A143">
        <f t="shared" si="20"/>
        <v>120000000000</v>
      </c>
      <c r="B143">
        <f t="shared" si="26"/>
        <v>0</v>
      </c>
      <c r="C143">
        <f t="shared" si="27"/>
        <v>0</v>
      </c>
      <c r="D143">
        <f t="shared" si="27"/>
        <v>0</v>
      </c>
      <c r="E143">
        <f t="shared" si="25"/>
        <v>0</v>
      </c>
      <c r="F143">
        <f t="shared" si="25"/>
        <v>0</v>
      </c>
      <c r="G143">
        <f t="shared" si="25"/>
        <v>0</v>
      </c>
      <c r="H143">
        <f t="shared" si="25"/>
        <v>0</v>
      </c>
      <c r="I143">
        <f t="shared" si="25"/>
        <v>0</v>
      </c>
      <c r="J143">
        <f t="shared" si="25"/>
        <v>0</v>
      </c>
    </row>
    <row r="144" spans="1:10" x14ac:dyDescent="0.2">
      <c r="A144">
        <f t="shared" si="20"/>
        <v>150000000000</v>
      </c>
      <c r="B144">
        <f t="shared" si="26"/>
        <v>0</v>
      </c>
      <c r="C144">
        <f t="shared" si="27"/>
        <v>0</v>
      </c>
      <c r="D144">
        <f t="shared" si="27"/>
        <v>0</v>
      </c>
      <c r="E144">
        <f t="shared" si="25"/>
        <v>0</v>
      </c>
      <c r="F144">
        <f t="shared" si="25"/>
        <v>0</v>
      </c>
      <c r="G144">
        <f t="shared" si="25"/>
        <v>0</v>
      </c>
      <c r="H144">
        <f t="shared" si="25"/>
        <v>0</v>
      </c>
      <c r="I144">
        <f t="shared" si="25"/>
        <v>0</v>
      </c>
      <c r="J144">
        <f t="shared" si="25"/>
        <v>0</v>
      </c>
    </row>
    <row r="145" spans="1:10" x14ac:dyDescent="0.2">
      <c r="A145">
        <f t="shared" si="20"/>
        <v>180000000000</v>
      </c>
      <c r="B145">
        <f t="shared" si="26"/>
        <v>0</v>
      </c>
      <c r="C145">
        <f t="shared" si="27"/>
        <v>0</v>
      </c>
      <c r="D145">
        <f t="shared" si="27"/>
        <v>0</v>
      </c>
      <c r="E145">
        <f t="shared" si="25"/>
        <v>0</v>
      </c>
      <c r="F145">
        <f t="shared" si="25"/>
        <v>0</v>
      </c>
      <c r="G145">
        <f t="shared" si="25"/>
        <v>0</v>
      </c>
      <c r="H145">
        <f t="shared" si="25"/>
        <v>0</v>
      </c>
      <c r="I145">
        <f t="shared" si="25"/>
        <v>0</v>
      </c>
      <c r="J145">
        <f t="shared" si="25"/>
        <v>0</v>
      </c>
    </row>
    <row r="146" spans="1:10" x14ac:dyDescent="0.2">
      <c r="A146">
        <f t="shared" si="20"/>
        <v>220000000000</v>
      </c>
      <c r="B146">
        <f t="shared" si="26"/>
        <v>0</v>
      </c>
      <c r="C146">
        <f t="shared" si="27"/>
        <v>0</v>
      </c>
      <c r="D146">
        <f t="shared" si="27"/>
        <v>0</v>
      </c>
      <c r="E146">
        <f t="shared" si="25"/>
        <v>0</v>
      </c>
      <c r="F146">
        <f t="shared" si="25"/>
        <v>0</v>
      </c>
      <c r="G146">
        <f t="shared" si="25"/>
        <v>0</v>
      </c>
      <c r="H146">
        <f t="shared" si="25"/>
        <v>0</v>
      </c>
      <c r="I146">
        <f t="shared" si="25"/>
        <v>0</v>
      </c>
      <c r="J146">
        <f t="shared" si="25"/>
        <v>0</v>
      </c>
    </row>
    <row r="147" spans="1:10" x14ac:dyDescent="0.2">
      <c r="A147">
        <f t="shared" si="20"/>
        <v>270000000000</v>
      </c>
      <c r="B147">
        <f t="shared" si="26"/>
        <v>0</v>
      </c>
      <c r="C147">
        <f t="shared" si="27"/>
        <v>0</v>
      </c>
      <c r="D147">
        <f t="shared" si="27"/>
        <v>0</v>
      </c>
      <c r="E147">
        <f t="shared" si="25"/>
        <v>0</v>
      </c>
      <c r="F147">
        <f t="shared" si="25"/>
        <v>0</v>
      </c>
      <c r="G147">
        <f t="shared" si="25"/>
        <v>0</v>
      </c>
      <c r="H147">
        <f t="shared" si="25"/>
        <v>0</v>
      </c>
      <c r="I147">
        <f t="shared" si="25"/>
        <v>0</v>
      </c>
      <c r="J147">
        <f t="shared" si="25"/>
        <v>0</v>
      </c>
    </row>
    <row r="148" spans="1:10" x14ac:dyDescent="0.2">
      <c r="A148">
        <f t="shared" si="20"/>
        <v>330000000000</v>
      </c>
      <c r="B148">
        <f t="shared" si="26"/>
        <v>0</v>
      </c>
      <c r="C148">
        <f t="shared" si="27"/>
        <v>0</v>
      </c>
      <c r="D148">
        <f t="shared" si="27"/>
        <v>0</v>
      </c>
      <c r="E148">
        <f t="shared" si="25"/>
        <v>0</v>
      </c>
      <c r="F148">
        <f t="shared" si="25"/>
        <v>0</v>
      </c>
      <c r="G148">
        <f t="shared" si="25"/>
        <v>0</v>
      </c>
      <c r="H148">
        <f t="shared" si="25"/>
        <v>0</v>
      </c>
      <c r="I148">
        <f t="shared" si="25"/>
        <v>0</v>
      </c>
      <c r="J148">
        <f t="shared" si="25"/>
        <v>0</v>
      </c>
    </row>
    <row r="149" spans="1:10" x14ac:dyDescent="0.2">
      <c r="A149">
        <f t="shared" si="20"/>
        <v>390000000000</v>
      </c>
      <c r="B149">
        <f t="shared" si="26"/>
        <v>0</v>
      </c>
      <c r="C149">
        <f t="shared" si="27"/>
        <v>0</v>
      </c>
      <c r="D149">
        <f t="shared" si="27"/>
        <v>0</v>
      </c>
      <c r="E149">
        <f t="shared" si="25"/>
        <v>0</v>
      </c>
      <c r="F149">
        <f t="shared" si="25"/>
        <v>0</v>
      </c>
      <c r="G149">
        <f t="shared" si="25"/>
        <v>0</v>
      </c>
      <c r="H149">
        <f t="shared" si="25"/>
        <v>0</v>
      </c>
      <c r="I149">
        <f t="shared" si="25"/>
        <v>0</v>
      </c>
      <c r="J149">
        <f t="shared" si="25"/>
        <v>0</v>
      </c>
    </row>
    <row r="150" spans="1:10" x14ac:dyDescent="0.2">
      <c r="A150">
        <f t="shared" si="20"/>
        <v>470000000000</v>
      </c>
      <c r="B150">
        <f t="shared" si="26"/>
        <v>0</v>
      </c>
      <c r="C150">
        <f t="shared" si="27"/>
        <v>0</v>
      </c>
      <c r="D150">
        <f t="shared" si="27"/>
        <v>0</v>
      </c>
      <c r="E150">
        <f t="shared" si="25"/>
        <v>0</v>
      </c>
      <c r="F150">
        <f t="shared" si="25"/>
        <v>0</v>
      </c>
      <c r="G150">
        <f t="shared" si="25"/>
        <v>0</v>
      </c>
      <c r="H150">
        <f t="shared" si="25"/>
        <v>0</v>
      </c>
      <c r="I150">
        <f t="shared" si="25"/>
        <v>0</v>
      </c>
      <c r="J150">
        <f t="shared" si="25"/>
        <v>0</v>
      </c>
    </row>
    <row r="151" spans="1:10" x14ac:dyDescent="0.2">
      <c r="A151">
        <f t="shared" si="20"/>
        <v>560000000000</v>
      </c>
      <c r="B151">
        <f t="shared" si="26"/>
        <v>0</v>
      </c>
      <c r="C151">
        <f t="shared" si="27"/>
        <v>0</v>
      </c>
      <c r="D151">
        <f t="shared" si="27"/>
        <v>0</v>
      </c>
      <c r="E151">
        <f t="shared" si="25"/>
        <v>0</v>
      </c>
      <c r="F151">
        <f t="shared" si="25"/>
        <v>0</v>
      </c>
      <c r="G151">
        <f t="shared" si="25"/>
        <v>0</v>
      </c>
      <c r="H151">
        <f t="shared" si="25"/>
        <v>0</v>
      </c>
      <c r="I151">
        <f t="shared" si="25"/>
        <v>0</v>
      </c>
      <c r="J151">
        <f t="shared" si="25"/>
        <v>0</v>
      </c>
    </row>
    <row r="152" spans="1:10" x14ac:dyDescent="0.2">
      <c r="A152">
        <f t="shared" si="20"/>
        <v>680000000000</v>
      </c>
      <c r="B152">
        <f t="shared" si="26"/>
        <v>0</v>
      </c>
      <c r="C152">
        <f t="shared" si="27"/>
        <v>0</v>
      </c>
      <c r="D152">
        <f t="shared" si="27"/>
        <v>0</v>
      </c>
      <c r="E152">
        <f t="shared" si="25"/>
        <v>0</v>
      </c>
      <c r="F152">
        <f t="shared" si="25"/>
        <v>0</v>
      </c>
      <c r="G152">
        <f t="shared" si="25"/>
        <v>0</v>
      </c>
      <c r="H152">
        <f t="shared" si="25"/>
        <v>0</v>
      </c>
      <c r="I152">
        <f t="shared" si="25"/>
        <v>0</v>
      </c>
      <c r="J152">
        <f t="shared" si="25"/>
        <v>0</v>
      </c>
    </row>
    <row r="153" spans="1:10" x14ac:dyDescent="0.2">
      <c r="A153">
        <f t="shared" si="20"/>
        <v>820000000000</v>
      </c>
      <c r="B153">
        <f t="shared" si="26"/>
        <v>0</v>
      </c>
      <c r="C153">
        <f t="shared" si="27"/>
        <v>0</v>
      </c>
      <c r="D153">
        <f t="shared" si="27"/>
        <v>0</v>
      </c>
      <c r="E153">
        <f t="shared" si="25"/>
        <v>0</v>
      </c>
      <c r="F153">
        <f t="shared" si="25"/>
        <v>0</v>
      </c>
      <c r="G153">
        <f t="shared" si="25"/>
        <v>0</v>
      </c>
      <c r="H153">
        <f t="shared" si="25"/>
        <v>0</v>
      </c>
      <c r="I153">
        <f t="shared" si="25"/>
        <v>0</v>
      </c>
      <c r="J153">
        <f t="shared" si="25"/>
        <v>0</v>
      </c>
    </row>
    <row r="154" spans="1:10" x14ac:dyDescent="0.2">
      <c r="A154">
        <f t="shared" si="20"/>
        <v>1000000000000</v>
      </c>
      <c r="B154">
        <f t="shared" si="26"/>
        <v>0</v>
      </c>
      <c r="C154">
        <f t="shared" si="27"/>
        <v>0</v>
      </c>
      <c r="D154">
        <f t="shared" si="27"/>
        <v>0</v>
      </c>
      <c r="E154">
        <f t="shared" si="25"/>
        <v>0</v>
      </c>
      <c r="F154">
        <f t="shared" si="25"/>
        <v>0</v>
      </c>
      <c r="G154">
        <f t="shared" si="25"/>
        <v>0</v>
      </c>
      <c r="H154">
        <f t="shared" si="25"/>
        <v>0</v>
      </c>
      <c r="I154">
        <f t="shared" si="25"/>
        <v>0</v>
      </c>
      <c r="J154">
        <f t="shared" si="25"/>
        <v>0</v>
      </c>
    </row>
    <row r="155" spans="1:10" x14ac:dyDescent="0.2">
      <c r="A155">
        <f t="shared" si="20"/>
        <v>1200000000000</v>
      </c>
      <c r="B155">
        <f t="shared" si="26"/>
        <v>0</v>
      </c>
      <c r="C155">
        <f t="shared" si="27"/>
        <v>0</v>
      </c>
      <c r="D155">
        <f t="shared" si="27"/>
        <v>0</v>
      </c>
      <c r="E155">
        <f t="shared" si="25"/>
        <v>0</v>
      </c>
      <c r="F155">
        <f t="shared" si="25"/>
        <v>0</v>
      </c>
      <c r="G155">
        <f t="shared" si="25"/>
        <v>0</v>
      </c>
      <c r="H155">
        <f t="shared" si="25"/>
        <v>0</v>
      </c>
      <c r="I155">
        <f t="shared" si="25"/>
        <v>0</v>
      </c>
      <c r="J155">
        <f t="shared" si="25"/>
        <v>0</v>
      </c>
    </row>
    <row r="156" spans="1:10" x14ac:dyDescent="0.2">
      <c r="A156">
        <f t="shared" si="20"/>
        <v>1500000000000</v>
      </c>
      <c r="B156">
        <f t="shared" si="26"/>
        <v>0</v>
      </c>
      <c r="C156">
        <f t="shared" si="27"/>
        <v>0</v>
      </c>
      <c r="D156">
        <f t="shared" si="27"/>
        <v>0</v>
      </c>
      <c r="E156">
        <f t="shared" si="25"/>
        <v>0</v>
      </c>
      <c r="F156">
        <f t="shared" si="25"/>
        <v>0</v>
      </c>
      <c r="G156">
        <f t="shared" si="25"/>
        <v>0</v>
      </c>
      <c r="H156">
        <f t="shared" si="25"/>
        <v>0</v>
      </c>
      <c r="I156">
        <f t="shared" si="25"/>
        <v>0</v>
      </c>
      <c r="J156">
        <f t="shared" si="25"/>
        <v>0</v>
      </c>
    </row>
    <row r="157" spans="1:10" x14ac:dyDescent="0.2">
      <c r="A157">
        <f t="shared" si="20"/>
        <v>1800000000000</v>
      </c>
      <c r="B157">
        <f t="shared" si="26"/>
        <v>0</v>
      </c>
      <c r="C157">
        <f t="shared" si="27"/>
        <v>0</v>
      </c>
      <c r="D157">
        <f t="shared" si="27"/>
        <v>0</v>
      </c>
      <c r="E157">
        <f t="shared" si="25"/>
        <v>0</v>
      </c>
      <c r="F157">
        <f t="shared" si="25"/>
        <v>0</v>
      </c>
      <c r="G157">
        <f t="shared" si="25"/>
        <v>0</v>
      </c>
      <c r="H157">
        <f t="shared" si="25"/>
        <v>0</v>
      </c>
      <c r="I157">
        <f t="shared" si="25"/>
        <v>0</v>
      </c>
      <c r="J157">
        <f t="shared" si="25"/>
        <v>0</v>
      </c>
    </row>
    <row r="158" spans="1:10" x14ac:dyDescent="0.2">
      <c r="A158">
        <f t="shared" si="20"/>
        <v>2200000000000</v>
      </c>
      <c r="B158">
        <f t="shared" si="26"/>
        <v>0</v>
      </c>
      <c r="C158">
        <f t="shared" si="27"/>
        <v>0</v>
      </c>
      <c r="D158">
        <f t="shared" si="27"/>
        <v>0</v>
      </c>
      <c r="E158">
        <f t="shared" si="25"/>
        <v>0</v>
      </c>
      <c r="F158">
        <f t="shared" si="25"/>
        <v>0</v>
      </c>
      <c r="G158">
        <f t="shared" si="25"/>
        <v>0</v>
      </c>
      <c r="H158">
        <f t="shared" si="25"/>
        <v>0</v>
      </c>
      <c r="I158">
        <f t="shared" si="25"/>
        <v>0</v>
      </c>
      <c r="J158">
        <f t="shared" si="25"/>
        <v>0</v>
      </c>
    </row>
    <row r="159" spans="1:10" x14ac:dyDescent="0.2">
      <c r="A159" s="43">
        <f t="shared" si="20"/>
        <v>2700000000000</v>
      </c>
      <c r="B159">
        <f t="shared" si="26"/>
        <v>2700000000000</v>
      </c>
      <c r="C159">
        <f t="shared" si="27"/>
        <v>2700000000000</v>
      </c>
      <c r="D159">
        <f t="shared" si="27"/>
        <v>2700000000000</v>
      </c>
      <c r="E159">
        <f t="shared" si="25"/>
        <v>2700000000000</v>
      </c>
      <c r="F159">
        <f t="shared" si="25"/>
        <v>2700000000000</v>
      </c>
      <c r="G159">
        <f t="shared" si="25"/>
        <v>2700000000000</v>
      </c>
      <c r="H159">
        <f t="shared" si="25"/>
        <v>2700000000000</v>
      </c>
      <c r="I159">
        <f t="shared" si="25"/>
        <v>0</v>
      </c>
      <c r="J159">
        <f t="shared" si="25"/>
        <v>2700000000000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E7"/>
  <sheetViews>
    <sheetView workbookViewId="0">
      <selection activeCell="M42" sqref="M42"/>
    </sheetView>
  </sheetViews>
  <sheetFormatPr defaultRowHeight="12.75" x14ac:dyDescent="0.2"/>
  <cols>
    <col min="1" max="1" width="18.5703125" customWidth="1"/>
    <col min="2" max="2" width="9.28515625" customWidth="1"/>
    <col min="4" max="4" width="11.140625" customWidth="1"/>
  </cols>
  <sheetData>
    <row r="1" spans="1:5" x14ac:dyDescent="0.2">
      <c r="C1" t="s">
        <v>219</v>
      </c>
      <c r="D1" t="s">
        <v>218</v>
      </c>
    </row>
    <row r="2" spans="1:5" x14ac:dyDescent="0.2">
      <c r="A2" t="s">
        <v>216</v>
      </c>
      <c r="B2" s="47">
        <v>85</v>
      </c>
      <c r="C2" t="s">
        <v>217</v>
      </c>
      <c r="D2">
        <f>B2*1000000</f>
        <v>85000000</v>
      </c>
      <c r="E2" t="s">
        <v>10</v>
      </c>
    </row>
    <row r="3" spans="1:5" x14ac:dyDescent="0.2">
      <c r="A3" t="s">
        <v>220</v>
      </c>
      <c r="B3" s="47">
        <v>3000</v>
      </c>
      <c r="C3" t="s">
        <v>32</v>
      </c>
      <c r="D3">
        <f>B3*0.000000000001</f>
        <v>3E-9</v>
      </c>
      <c r="E3" t="s">
        <v>26</v>
      </c>
    </row>
    <row r="4" spans="1:5" x14ac:dyDescent="0.2">
      <c r="A4" t="s">
        <v>222</v>
      </c>
      <c r="B4" s="48">
        <f>1000000000*1/((D2*2*3.14159)^2*D3)</f>
        <v>1.1686430773614742</v>
      </c>
      <c r="C4" t="s">
        <v>223</v>
      </c>
      <c r="D4">
        <f>B4/1000000000</f>
        <v>1.1686430773614743E-9</v>
      </c>
      <c r="E4" t="s">
        <v>20</v>
      </c>
    </row>
    <row r="5" spans="1:5" x14ac:dyDescent="0.2">
      <c r="A5" t="s">
        <v>221</v>
      </c>
      <c r="B5">
        <f>4*B3</f>
        <v>12000</v>
      </c>
      <c r="C5" t="s">
        <v>32</v>
      </c>
      <c r="D5">
        <f>B5*0.000000000001</f>
        <v>1.2E-8</v>
      </c>
      <c r="E5" t="s">
        <v>26</v>
      </c>
    </row>
    <row r="6" spans="1:5" x14ac:dyDescent="0.2">
      <c r="A6" t="s">
        <v>224</v>
      </c>
      <c r="B6" s="4">
        <f>SQRT(D4/D3)</f>
        <v>0.62413755891936573</v>
      </c>
      <c r="C6" s="4" t="s">
        <v>169</v>
      </c>
      <c r="D6" s="4">
        <f>B6</f>
        <v>0.62413755891936573</v>
      </c>
      <c r="E6" t="s">
        <v>169</v>
      </c>
    </row>
    <row r="7" spans="1:5" x14ac:dyDescent="0.2">
      <c r="B7" s="4"/>
      <c r="C7" s="4"/>
      <c r="D7" s="4"/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3:E16"/>
  <sheetViews>
    <sheetView workbookViewId="0">
      <selection activeCell="G37" sqref="G37"/>
    </sheetView>
  </sheetViews>
  <sheetFormatPr defaultRowHeight="12.75" x14ac:dyDescent="0.2"/>
  <sheetData>
    <row r="3" spans="1:5" x14ac:dyDescent="0.2">
      <c r="A3" t="s">
        <v>186</v>
      </c>
      <c r="B3" t="e">
        <f>Iripple1</f>
        <v>#NAME?</v>
      </c>
    </row>
    <row r="4" spans="1:5" x14ac:dyDescent="0.2">
      <c r="A4" t="s">
        <v>7</v>
      </c>
      <c r="B4">
        <f>Fsw</f>
        <v>250000</v>
      </c>
    </row>
    <row r="6" spans="1:5" x14ac:dyDescent="0.2">
      <c r="A6" t="s">
        <v>173</v>
      </c>
      <c r="B6" s="41">
        <v>0.5</v>
      </c>
      <c r="C6" t="s">
        <v>67</v>
      </c>
      <c r="D6">
        <f>B6/1000</f>
        <v>5.0000000000000001E-4</v>
      </c>
      <c r="E6" t="s">
        <v>21</v>
      </c>
    </row>
    <row r="7" spans="1:5" x14ac:dyDescent="0.2">
      <c r="A7" t="s">
        <v>184</v>
      </c>
      <c r="B7" s="41">
        <v>20</v>
      </c>
      <c r="C7" t="s">
        <v>25</v>
      </c>
      <c r="D7">
        <f>B7/1000000</f>
        <v>2.0000000000000002E-5</v>
      </c>
      <c r="E7" t="s">
        <v>26</v>
      </c>
    </row>
    <row r="9" spans="1:5" x14ac:dyDescent="0.2">
      <c r="A9" t="s">
        <v>174</v>
      </c>
      <c r="B9" s="41">
        <v>20</v>
      </c>
      <c r="C9" t="s">
        <v>67</v>
      </c>
      <c r="D9">
        <f>B9/1000</f>
        <v>0.02</v>
      </c>
      <c r="E9" t="s">
        <v>21</v>
      </c>
    </row>
    <row r="10" spans="1:5" x14ac:dyDescent="0.2">
      <c r="A10" t="s">
        <v>185</v>
      </c>
      <c r="B10" s="41">
        <v>68</v>
      </c>
      <c r="C10" t="s">
        <v>25</v>
      </c>
      <c r="D10">
        <f>B10/1000000</f>
        <v>6.7999999999999999E-5</v>
      </c>
      <c r="E10" t="s">
        <v>26</v>
      </c>
    </row>
    <row r="12" spans="1:5" x14ac:dyDescent="0.2">
      <c r="A12" t="s">
        <v>188</v>
      </c>
      <c r="B12">
        <f>(D7/(D7+D10))*SQRT((D9*D10*B4)^2+1)/SQRT((((D6+D9)*D7*D10/(D10+D7))*B4)^2+1)</f>
        <v>0.23930049040395651</v>
      </c>
      <c r="C12" t="s">
        <v>187</v>
      </c>
    </row>
    <row r="13" spans="1:5" x14ac:dyDescent="0.2">
      <c r="A13" t="s">
        <v>189</v>
      </c>
      <c r="B13">
        <f>1-B12</f>
        <v>0.76069950959604349</v>
      </c>
      <c r="C13" t="s">
        <v>187</v>
      </c>
    </row>
    <row r="15" spans="1:5" x14ac:dyDescent="0.2">
      <c r="A15" t="s">
        <v>188</v>
      </c>
      <c r="B15" t="e">
        <f>B12*(Iripple1/(2*SQRT(3)))</f>
        <v>#NAME?</v>
      </c>
      <c r="C15" t="s">
        <v>2</v>
      </c>
    </row>
    <row r="16" spans="1:5" x14ac:dyDescent="0.2">
      <c r="A16" t="s">
        <v>189</v>
      </c>
      <c r="B16" t="e">
        <f>B13*(Iripple1/(2*SQRT(3)))</f>
        <v>#NAME?</v>
      </c>
      <c r="C16" t="s">
        <v>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252</vt:i4>
      </vt:variant>
    </vt:vector>
  </HeadingPairs>
  <TitlesOfParts>
    <vt:vector size="265" baseType="lpstr">
      <vt:lpstr>Design Converter</vt:lpstr>
      <vt:lpstr>BOM &amp; Schematic</vt:lpstr>
      <vt:lpstr>Licenses</vt:lpstr>
      <vt:lpstr>EVMs</vt:lpstr>
      <vt:lpstr>Variable Management</vt:lpstr>
      <vt:lpstr>Schematic Management</vt:lpstr>
      <vt:lpstr>Efficiency Plot Management</vt:lpstr>
      <vt:lpstr>Efficiency vs VIN Calculations</vt:lpstr>
      <vt:lpstr>Efficiency vs Load Calculations</vt:lpstr>
      <vt:lpstr>Stability Calculations</vt:lpstr>
      <vt:lpstr>Standard Value Calculator</vt:lpstr>
      <vt:lpstr>Snubber</vt:lpstr>
      <vt:lpstr>Parallel Output Caps</vt:lpstr>
      <vt:lpstr>_Don1</vt:lpstr>
      <vt:lpstr>_Don2</vt:lpstr>
      <vt:lpstr>Acs</vt:lpstr>
      <vt:lpstr>Adc</vt:lpstr>
      <vt:lpstr>AEA</vt:lpstr>
      <vt:lpstr>Afb</vt:lpstr>
      <vt:lpstr>Am</vt:lpstr>
      <vt:lpstr>Am_boost</vt:lpstr>
      <vt:lpstr>Am_buck</vt:lpstr>
      <vt:lpstr>Boost_CS_Threshold</vt:lpstr>
      <vt:lpstr>Boost_CS_Threshold_max</vt:lpstr>
      <vt:lpstr>Boost_CS_Threshold_min</vt:lpstr>
      <vt:lpstr>Buck_CS_threshold</vt:lpstr>
      <vt:lpstr>Buck_CS_threshold_max</vt:lpstr>
      <vt:lpstr>Buck_CS_threshold_min</vt:lpstr>
      <vt:lpstr>Cb</vt:lpstr>
      <vt:lpstr>Cbw</vt:lpstr>
      <vt:lpstr>Cby</vt:lpstr>
      <vt:lpstr>Cc1ea</vt:lpstr>
      <vt:lpstr>Cc1ea_u</vt:lpstr>
      <vt:lpstr>Cc2ea</vt:lpstr>
      <vt:lpstr>Cc2ea_u</vt:lpstr>
      <vt:lpstr>Cdither</vt:lpstr>
      <vt:lpstr>Cin</vt:lpstr>
      <vt:lpstr>CinEsrMax</vt:lpstr>
      <vt:lpstr>Cinmin</vt:lpstr>
      <vt:lpstr>Constant_Current_Loop_Setpoint</vt:lpstr>
      <vt:lpstr>Cout</vt:lpstr>
      <vt:lpstr>CoutEsr</vt:lpstr>
      <vt:lpstr>CoutEsrMax</vt:lpstr>
      <vt:lpstr>Coutmin</vt:lpstr>
      <vt:lpstr>CSAmp_gain</vt:lpstr>
      <vt:lpstr>Csb</vt:lpstr>
      <vt:lpstr>Csby</vt:lpstr>
      <vt:lpstr>Csideal</vt:lpstr>
      <vt:lpstr>Cslope</vt:lpstr>
      <vt:lpstr>Cslope_ideal</vt:lpstr>
      <vt:lpstr>Css</vt:lpstr>
      <vt:lpstr>Css_u</vt:lpstr>
      <vt:lpstr>D_max_buck_BB</vt:lpstr>
      <vt:lpstr>D_max_buck_enterBB</vt:lpstr>
      <vt:lpstr>D_max_exitBB_to_buck</vt:lpstr>
      <vt:lpstr>D_min_boost</vt:lpstr>
      <vt:lpstr>D_min_boost_exitBB_to_buck</vt:lpstr>
      <vt:lpstr>Deadtime</vt:lpstr>
      <vt:lpstr>DITHER</vt:lpstr>
      <vt:lpstr>Doff1</vt:lpstr>
      <vt:lpstr>Doff2</vt:lpstr>
      <vt:lpstr>Don_buckboost</vt:lpstr>
      <vt:lpstr>Don_Vinmax</vt:lpstr>
      <vt:lpstr>Don_Vinmax_2</vt:lpstr>
      <vt:lpstr>Don_Vinmin</vt:lpstr>
      <vt:lpstr>Don_Vinmin_2</vt:lpstr>
      <vt:lpstr>Don_Vinnom</vt:lpstr>
      <vt:lpstr>Don_Vinnom_2</vt:lpstr>
      <vt:lpstr>EFF_IOUT</vt:lpstr>
      <vt:lpstr>EFF_VIN</vt:lpstr>
      <vt:lpstr>Efficiency</vt:lpstr>
      <vt:lpstr>Fcross</vt:lpstr>
      <vt:lpstr>Fdither</vt:lpstr>
      <vt:lpstr>Fesr</vt:lpstr>
      <vt:lpstr>Fload_u</vt:lpstr>
      <vt:lpstr>Fp_dominant</vt:lpstr>
      <vt:lpstr>Fp1_u</vt:lpstr>
      <vt:lpstr>Fp2_u</vt:lpstr>
      <vt:lpstr>Frhp</vt:lpstr>
      <vt:lpstr>Fsw</vt:lpstr>
      <vt:lpstr>Fz1_u</vt:lpstr>
      <vt:lpstr>GBW</vt:lpstr>
      <vt:lpstr>Gfs_Q1</vt:lpstr>
      <vt:lpstr>Gfs_Q2</vt:lpstr>
      <vt:lpstr>Gfs_Q3</vt:lpstr>
      <vt:lpstr>Gfs_Q4</vt:lpstr>
      <vt:lpstr>gm</vt:lpstr>
      <vt:lpstr>gm_slopecomp</vt:lpstr>
      <vt:lpstr>Icoutrms</vt:lpstr>
      <vt:lpstr>Iin_Vinmax</vt:lpstr>
      <vt:lpstr>Iin_Vinmin</vt:lpstr>
      <vt:lpstr>Iin_Vinnom</vt:lpstr>
      <vt:lpstr>IL_peak_OCP</vt:lpstr>
      <vt:lpstr>Ilimit_DC</vt:lpstr>
      <vt:lpstr>ILpeak_OCP_Vinmax</vt:lpstr>
      <vt:lpstr>ILpeak_OCP_Vinmin</vt:lpstr>
      <vt:lpstr>ILpeak_OCP_Vinnom</vt:lpstr>
      <vt:lpstr>Iout</vt:lpstr>
      <vt:lpstr>Iout_OCP_Vinmax</vt:lpstr>
      <vt:lpstr>Iout_OCP_Vinmin</vt:lpstr>
      <vt:lpstr>Iout_OCP_Vinnom</vt:lpstr>
      <vt:lpstr>Iout_threshold</vt:lpstr>
      <vt:lpstr>Iq</vt:lpstr>
      <vt:lpstr>Ireverse</vt:lpstr>
      <vt:lpstr>Iripple_edgebuckboost</vt:lpstr>
      <vt:lpstr>Iripple_Vinmax</vt:lpstr>
      <vt:lpstr>Iripple_Vinmin</vt:lpstr>
      <vt:lpstr>Iripple_Vinnom</vt:lpstr>
      <vt:lpstr>Isc_const</vt:lpstr>
      <vt:lpstr>Islope_fixed</vt:lpstr>
      <vt:lpstr>Iss</vt:lpstr>
      <vt:lpstr>Iuvlo_hys</vt:lpstr>
      <vt:lpstr>Iuvlo1</vt:lpstr>
      <vt:lpstr>Iuvlo2</vt:lpstr>
      <vt:lpstr>k</vt:lpstr>
      <vt:lpstr>K_1</vt:lpstr>
      <vt:lpstr>k_boost</vt:lpstr>
      <vt:lpstr>k_buck</vt:lpstr>
      <vt:lpstr>K_SL</vt:lpstr>
      <vt:lpstr>KD</vt:lpstr>
      <vt:lpstr>KM</vt:lpstr>
      <vt:lpstr>Lf</vt:lpstr>
      <vt:lpstr>Lopt</vt:lpstr>
      <vt:lpstr>Ltc</vt:lpstr>
      <vt:lpstr>mc</vt:lpstr>
      <vt:lpstr>mc_boost</vt:lpstr>
      <vt:lpstr>mc_buck</vt:lpstr>
      <vt:lpstr>Pi</vt:lpstr>
      <vt:lpstr>Pin</vt:lpstr>
      <vt:lpstr>PLOT_TYPE</vt:lpstr>
      <vt:lpstr>pole1</vt:lpstr>
      <vt:lpstr>Pole2</vt:lpstr>
      <vt:lpstr>pole3</vt:lpstr>
      <vt:lpstr>pole4</vt:lpstr>
      <vt:lpstr>Pout</vt:lpstr>
      <vt:lpstr>'BOM &amp; Schematic'!Print_Area</vt:lpstr>
      <vt:lpstr>'Design Converter'!Print_Area</vt:lpstr>
      <vt:lpstr>pterm1</vt:lpstr>
      <vt:lpstr>pterm2</vt:lpstr>
      <vt:lpstr>Q</vt:lpstr>
      <vt:lpstr>Qg_Q1</vt:lpstr>
      <vt:lpstr>Qg_Q2</vt:lpstr>
      <vt:lpstr>Qg_Q3</vt:lpstr>
      <vt:lpstr>Qg_Q4</vt:lpstr>
      <vt:lpstr>Qgd_Q1</vt:lpstr>
      <vt:lpstr>Qgd_Q2</vt:lpstr>
      <vt:lpstr>Qgd_Q3</vt:lpstr>
      <vt:lpstr>Qgd_Q4</vt:lpstr>
      <vt:lpstr>Qgs_Q1</vt:lpstr>
      <vt:lpstr>Qgs_Q2</vt:lpstr>
      <vt:lpstr>Qgs_Q3</vt:lpstr>
      <vt:lpstr>Qgs_Q4</vt:lpstr>
      <vt:lpstr>Qrr_Q1</vt:lpstr>
      <vt:lpstr>Qrr_Q2</vt:lpstr>
      <vt:lpstr>Qrr_Q3</vt:lpstr>
      <vt:lpstr>Qrr_Q4</vt:lpstr>
      <vt:lpstr>QrrSky_Q2</vt:lpstr>
      <vt:lpstr>QrrSky_Q3</vt:lpstr>
      <vt:lpstr>radconv</vt:lpstr>
      <vt:lpstr>Rcea1</vt:lpstr>
      <vt:lpstr>Rcea1_u</vt:lpstr>
      <vt:lpstr>RCinEsr</vt:lpstr>
      <vt:lpstr>RCoutEsr</vt:lpstr>
      <vt:lpstr>Rdcr</vt:lpstr>
      <vt:lpstr>Rdson1</vt:lpstr>
      <vt:lpstr>Rdson2</vt:lpstr>
      <vt:lpstr>Rdson3</vt:lpstr>
      <vt:lpstr>Rdson4</vt:lpstr>
      <vt:lpstr>RdsonBotTc</vt:lpstr>
      <vt:lpstr>RdsonDRB</vt:lpstr>
      <vt:lpstr>RdsonDRB2</vt:lpstr>
      <vt:lpstr>RdsonDRT</vt:lpstr>
      <vt:lpstr>RdsonDRT2</vt:lpstr>
      <vt:lpstr>RdsonTopTc</vt:lpstr>
      <vt:lpstr>Rfadj</vt:lpstr>
      <vt:lpstr>Rfb1_</vt:lpstr>
      <vt:lpstr>Rfb2_</vt:lpstr>
      <vt:lpstr>Rfb2_u</vt:lpstr>
      <vt:lpstr>Rfets</vt:lpstr>
      <vt:lpstr>Rgate1</vt:lpstr>
      <vt:lpstr>Rgate2</vt:lpstr>
      <vt:lpstr>Rgate3</vt:lpstr>
      <vt:lpstr>Rgate4</vt:lpstr>
      <vt:lpstr>Ri</vt:lpstr>
      <vt:lpstr>Ro</vt:lpstr>
      <vt:lpstr>RoEA</vt:lpstr>
      <vt:lpstr>Rout</vt:lpstr>
      <vt:lpstr>Rpg</vt:lpstr>
      <vt:lpstr>Rs</vt:lpstr>
      <vt:lpstr>Rs_ideal</vt:lpstr>
      <vt:lpstr>Rsb</vt:lpstr>
      <vt:lpstr>Rshunt</vt:lpstr>
      <vt:lpstr>Rshunt_std</vt:lpstr>
      <vt:lpstr>Ruvlo1</vt:lpstr>
      <vt:lpstr>Ruvlo2</vt:lpstr>
      <vt:lpstr>SCH_DITH</vt:lpstr>
      <vt:lpstr>SCH_NO_DITH</vt:lpstr>
      <vt:lpstr>SCH_WITH_DITH</vt:lpstr>
      <vt:lpstr>Se</vt:lpstr>
      <vt:lpstr>Se_ext</vt:lpstr>
      <vt:lpstr>Se_fixed</vt:lpstr>
      <vt:lpstr>Se_proportional</vt:lpstr>
      <vt:lpstr>Sf</vt:lpstr>
      <vt:lpstr>Sn</vt:lpstr>
      <vt:lpstr>Ta</vt:lpstr>
      <vt:lpstr>Tf_boost</vt:lpstr>
      <vt:lpstr>Tf_buck</vt:lpstr>
      <vt:lpstr>ThetaCa</vt:lpstr>
      <vt:lpstr>ThetaJA_Q1</vt:lpstr>
      <vt:lpstr>ThetaJA_Q2</vt:lpstr>
      <vt:lpstr>ThetaJA_Q3</vt:lpstr>
      <vt:lpstr>ThetaJA_Q4</vt:lpstr>
      <vt:lpstr>ThetaJaCtrl</vt:lpstr>
      <vt:lpstr>TL</vt:lpstr>
      <vt:lpstr>Toff_min_buck</vt:lpstr>
      <vt:lpstr>Toff_Vinmax</vt:lpstr>
      <vt:lpstr>Ton_min_boost</vt:lpstr>
      <vt:lpstr>Ton_Vinmin</vt:lpstr>
      <vt:lpstr>Tr_boost</vt:lpstr>
      <vt:lpstr>Tr_buck</vt:lpstr>
      <vt:lpstr>Trr_Q1</vt:lpstr>
      <vt:lpstr>Trr_Q2</vt:lpstr>
      <vt:lpstr>Trr_Q3</vt:lpstr>
      <vt:lpstr>Trr_Q4</vt:lpstr>
      <vt:lpstr>Ts</vt:lpstr>
      <vt:lpstr>Tss</vt:lpstr>
      <vt:lpstr>V_sc_fixed</vt:lpstr>
      <vt:lpstr>V_sc_proportional</vt:lpstr>
      <vt:lpstr>V_sc_total</vt:lpstr>
      <vt:lpstr>Vdd</vt:lpstr>
      <vt:lpstr>VfdSky_Q2</vt:lpstr>
      <vt:lpstr>VfdSky_Q3</vt:lpstr>
      <vt:lpstr>Vin</vt:lpstr>
      <vt:lpstr>VIN_BB_to_buck</vt:lpstr>
      <vt:lpstr>VIN_boost_to_BB</vt:lpstr>
      <vt:lpstr>VIN_edgebuckboost</vt:lpstr>
      <vt:lpstr>VIN_max</vt:lpstr>
      <vt:lpstr>VIN_min</vt:lpstr>
      <vt:lpstr>VIN_nom</vt:lpstr>
      <vt:lpstr>Vinripple1</vt:lpstr>
      <vt:lpstr>Vinripple2</vt:lpstr>
      <vt:lpstr>VINuvlo_off</vt:lpstr>
      <vt:lpstr>VINuvlo_on</vt:lpstr>
      <vt:lpstr>Vout</vt:lpstr>
      <vt:lpstr>Vref</vt:lpstr>
      <vt:lpstr>Vripple1</vt:lpstr>
      <vt:lpstr>Vripple2</vt:lpstr>
      <vt:lpstr>Vsd_Q1</vt:lpstr>
      <vt:lpstr>Vsd_Q2</vt:lpstr>
      <vt:lpstr>Vsd_Q3</vt:lpstr>
      <vt:lpstr>Vsd_Q4</vt:lpstr>
      <vt:lpstr>Vsp_Q1</vt:lpstr>
      <vt:lpstr>Vsp_Q2</vt:lpstr>
      <vt:lpstr>Vsp_Q3</vt:lpstr>
      <vt:lpstr>Vsp_Q4</vt:lpstr>
      <vt:lpstr>Vth_Q1</vt:lpstr>
      <vt:lpstr>Vth_Q2</vt:lpstr>
      <vt:lpstr>Vth_Q3</vt:lpstr>
      <vt:lpstr>Vth_Q4</vt:lpstr>
      <vt:lpstr>Vuvlo_hys</vt:lpstr>
      <vt:lpstr>Vuvlo_off</vt:lpstr>
      <vt:lpstr>Vuvlo_on</vt:lpstr>
      <vt:lpstr>z_RHP</vt:lpstr>
      <vt:lpstr>Zero1</vt:lpstr>
      <vt:lpstr>Zero2</vt:lpstr>
    </vt:vector>
  </TitlesOfParts>
  <Company>Texas Instruments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LM5176 Quickstart Tool</dc:title>
  <dc:creator>Vijay Choudhary</dc:creator>
  <cp:keywords>LM5176, PWM controller, current mode, PCB layout</cp:keywords>
  <cp:lastModifiedBy>Schauer, Stefan</cp:lastModifiedBy>
  <cp:lastPrinted>2014-12-22T00:10:27Z</cp:lastPrinted>
  <dcterms:created xsi:type="dcterms:W3CDTF">1996-10-14T23:33:28Z</dcterms:created>
  <dcterms:modified xsi:type="dcterms:W3CDTF">2026-02-19T12:35:35Z</dcterms:modified>
</cp:coreProperties>
</file>